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L&amp;W\WASTEWATER\SRFGrants\Admin\IUP, priority lists, Cap grants\IUPs and Priority Lists\IUP 2025\1 - Process to Apply\Final\Accessible\Resend to Beth\"/>
    </mc:Choice>
  </mc:AlternateContent>
  <xr:revisionPtr revIDLastSave="0" documentId="13_ncr:1_{61F775D0-0B9D-4AFD-8B12-870697F9718B}" xr6:coauthVersionLast="47" xr6:coauthVersionMax="47" xr10:uidLastSave="{00000000-0000-0000-0000-000000000000}"/>
  <workbookProtection workbookAlgorithmName="SHA-512" workbookHashValue="5ipsK7qa5nKsTzRisCp4pIMitlZNJcXyFUC9+InwkzptkWKLHQLY1KBLCpijKMX+FTWq4actWso7cYaqnzkhJg==" workbookSaltValue="UcK4sAasVayaQPjvirT8PQ==" workbookSpinCount="100000" lockStructure="1"/>
  <bookViews>
    <workbookView xWindow="-110" yWindow="-110" windowWidth="38620" windowHeight="21220" tabRatio="568" activeTab="6" xr2:uid="{00000000-000D-0000-FFFF-FFFF00000000}"/>
  </bookViews>
  <sheets>
    <sheet name="Totals" sheetId="29" r:id="rId1"/>
    <sheet name="2025 IUP" sheetId="15" r:id="rId2"/>
    <sheet name="2025 IUP_FSPCAP" sheetId="17" r:id="rId3"/>
    <sheet name="2025 IUP-EC Only" sheetId="28" r:id="rId4"/>
    <sheet name="Stormwater &amp; NPS" sheetId="30" r:id="rId5"/>
    <sheet name="Calculator Impact  2025" sheetId="21" r:id="rId6"/>
    <sheet name="Population and MHI Data" sheetId="25" r:id="rId7"/>
  </sheets>
  <definedNames>
    <definedName name="Check1" localSheetId="1">'2025 IUP'!#REF!</definedName>
    <definedName name="Check1" localSheetId="2">'2025 IUP_FSPCAP'!#REF!</definedName>
    <definedName name="Check1" localSheetId="3">'2025 IUP-EC Only'!#REF!</definedName>
    <definedName name="Check9" localSheetId="1">'2025 IUP'!#REF!</definedName>
    <definedName name="Check9" localSheetId="2">'2025 IUP_FSPCAP'!#REF!</definedName>
    <definedName name="Check9" localSheetId="3">'2025 IUP-EC Only'!#REF!</definedName>
    <definedName name="_xlnm.Print_Area" localSheetId="1">'2025 IUP'!$B$2:$BV$79</definedName>
    <definedName name="_xlnm.Print_Area" localSheetId="2">'2025 IUP_FSPCAP'!$1:$13</definedName>
    <definedName name="_xlnm.Print_Area" localSheetId="3">'2025 IUP-EC Only'!$B$2:$CR$21</definedName>
    <definedName name="_xlnm.Print_Titles" localSheetId="1">'2025 IUP'!$7:$7</definedName>
    <definedName name="_xlnm.Print_Titles" localSheetId="3">'2025 IUP-EC Only'!$8:$8</definedName>
    <definedName name="Text2" localSheetId="1">'2025 IUP'!$A$75</definedName>
    <definedName name="Text2" localSheetId="2">'2025 IUP_FSPCAP'!#REF!</definedName>
    <definedName name="Text2" localSheetId="3">'2025 IUP-EC Only'!$A$20</definedName>
    <definedName name="Text3" localSheetId="1">'2025 IUP'!$B$75</definedName>
    <definedName name="Text3" localSheetId="2">'2025 IUP_FSPCAP'!#REF!</definedName>
    <definedName name="Text3" localSheetId="3">'2025 IUP-EC Only'!$B$20</definedName>
    <definedName name="Text4" localSheetId="1">'2025 IUP'!$A$79</definedName>
    <definedName name="Text4" localSheetId="2">'2025 IUP_FSPCAP'!#REF!</definedName>
    <definedName name="Text4" localSheetId="3">'2025 IUP-EC Only'!#REF!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25" l="1"/>
  <c r="F73" i="25"/>
  <c r="F74" i="25"/>
  <c r="F75" i="25"/>
  <c r="F277" i="25" l="1"/>
  <c r="F223" i="25"/>
  <c r="F262" i="25"/>
  <c r="F296" i="25"/>
  <c r="F303" i="25"/>
  <c r="F309" i="25"/>
  <c r="F329" i="25"/>
  <c r="F327" i="25"/>
  <c r="F339" i="25"/>
  <c r="F340" i="25"/>
  <c r="F341" i="25"/>
  <c r="F342" i="25"/>
  <c r="F368" i="25"/>
  <c r="F372" i="25"/>
  <c r="F416" i="25"/>
  <c r="F473" i="25"/>
  <c r="F516" i="25"/>
  <c r="F505" i="25"/>
  <c r="F506" i="25"/>
  <c r="F533" i="25"/>
  <c r="F435" i="25" l="1"/>
  <c r="F349" i="25"/>
  <c r="F240" i="25" l="1"/>
  <c r="F236" i="25"/>
  <c r="F211" i="25"/>
  <c r="F183" i="25"/>
  <c r="F172" i="25"/>
  <c r="F116" i="25"/>
  <c r="F90" i="25"/>
  <c r="BP8" i="15" l="1"/>
  <c r="BP9" i="15"/>
  <c r="BP10" i="15"/>
  <c r="BP11" i="15"/>
  <c r="BP12" i="15"/>
  <c r="BP13" i="15"/>
  <c r="J10" i="29"/>
  <c r="J8" i="29" s="1"/>
  <c r="BP14" i="15"/>
  <c r="BP15" i="15"/>
  <c r="BP16" i="15"/>
  <c r="BP17" i="15"/>
  <c r="BP18" i="15"/>
  <c r="BP19" i="15"/>
  <c r="BP20" i="15"/>
  <c r="BP21" i="15"/>
  <c r="BP22" i="15"/>
  <c r="BP25" i="15"/>
  <c r="BP26" i="15"/>
  <c r="BP27" i="15"/>
  <c r="BP28" i="15"/>
  <c r="BP29" i="15"/>
  <c r="BP30" i="15"/>
  <c r="BP31" i="15"/>
  <c r="BP32" i="15"/>
  <c r="BP33" i="15"/>
  <c r="BP34" i="15"/>
  <c r="BP35" i="15"/>
  <c r="BP36" i="15"/>
  <c r="BP37" i="15"/>
  <c r="BP38" i="15"/>
  <c r="BP39" i="15"/>
  <c r="BP40" i="15"/>
  <c r="BP41" i="15"/>
  <c r="BP42" i="15"/>
  <c r="BP43" i="15"/>
  <c r="BP44" i="15"/>
  <c r="BP45" i="15"/>
  <c r="BP46" i="15"/>
  <c r="BP47" i="15"/>
  <c r="BP48" i="15"/>
  <c r="BP49" i="15"/>
  <c r="BP50" i="15"/>
  <c r="BP51" i="15"/>
  <c r="BP52" i="15"/>
  <c r="BP53" i="15"/>
  <c r="BP54" i="15"/>
  <c r="BP55" i="15"/>
  <c r="BP56" i="15"/>
  <c r="BP57" i="15"/>
  <c r="BP58" i="15"/>
  <c r="BP59" i="15"/>
  <c r="BP60" i="15"/>
  <c r="BP61" i="15"/>
  <c r="BP62" i="15"/>
  <c r="BP63" i="15"/>
  <c r="BP64" i="15"/>
  <c r="BP65" i="15"/>
  <c r="BP66" i="15"/>
  <c r="AG12" i="17" l="1"/>
  <c r="P10" i="30" l="1"/>
  <c r="Q10" i="30"/>
  <c r="X8" i="30"/>
  <c r="X6" i="30"/>
  <c r="X7" i="30"/>
  <c r="R8" i="30"/>
  <c r="Y8" i="30" s="1"/>
  <c r="R6" i="30"/>
  <c r="Y6" i="30" s="1"/>
  <c r="R7" i="30"/>
  <c r="Y7" i="30" s="1"/>
  <c r="X5" i="30"/>
  <c r="R5" i="30"/>
  <c r="R10" i="30" l="1"/>
  <c r="Y10" i="30"/>
  <c r="AF68" i="15" l="1"/>
  <c r="AF4" i="15" s="1"/>
  <c r="L13" i="29"/>
  <c r="F13" i="29"/>
  <c r="E13" i="29"/>
  <c r="L12" i="29"/>
  <c r="L15" i="29" s="1"/>
  <c r="K12" i="29"/>
  <c r="K15" i="29" s="1"/>
  <c r="H12" i="29"/>
  <c r="H15" i="29" s="1"/>
  <c r="F12" i="29"/>
  <c r="E12" i="29"/>
  <c r="E15" i="29" s="1"/>
  <c r="J15" i="29"/>
  <c r="I8" i="29"/>
  <c r="I12" i="29" s="1"/>
  <c r="I15" i="29" s="1"/>
  <c r="G8" i="29"/>
  <c r="G12" i="29" s="1"/>
  <c r="G15" i="29" s="1"/>
  <c r="AK16" i="15"/>
  <c r="S86" i="15"/>
  <c r="S87" i="15"/>
  <c r="M13" i="29" l="1"/>
  <c r="F15" i="29"/>
  <c r="E16" i="29"/>
  <c r="I16" i="29"/>
  <c r="AG68" i="15"/>
  <c r="AH68" i="15"/>
  <c r="AH4" i="15" s="1"/>
  <c r="AI68" i="15"/>
  <c r="AL68" i="15"/>
  <c r="AJ17" i="15"/>
  <c r="R85" i="15"/>
  <c r="R89" i="15" s="1"/>
  <c r="R92" i="15" s="1"/>
  <c r="P85" i="15"/>
  <c r="P89" i="15" s="1"/>
  <c r="P92" i="15" s="1"/>
  <c r="BM13" i="28" l="1"/>
  <c r="BJ13" i="28"/>
  <c r="BI13" i="28"/>
  <c r="BH13" i="28"/>
  <c r="AU13" i="28"/>
  <c r="AS13" i="28"/>
  <c r="CM11" i="28"/>
  <c r="CK11" i="28"/>
  <c r="CJ11" i="28"/>
  <c r="CF11" i="28"/>
  <c r="BY11" i="28"/>
  <c r="BS11" i="28"/>
  <c r="BP11" i="28"/>
  <c r="BK11" i="28"/>
  <c r="BL11" i="28" s="1"/>
  <c r="AY11" i="28"/>
  <c r="CL11" i="28" s="1"/>
  <c r="AT11" i="28"/>
  <c r="AV11" i="28" s="1"/>
  <c r="AK11" i="28"/>
  <c r="AJ11" i="28"/>
  <c r="CM10" i="28"/>
  <c r="CK10" i="28"/>
  <c r="CF10" i="28"/>
  <c r="BY10" i="28"/>
  <c r="BS10" i="28"/>
  <c r="BP10" i="28"/>
  <c r="BK10" i="28"/>
  <c r="BL10" i="28" s="1"/>
  <c r="BA10" i="28"/>
  <c r="BB10" i="28" s="1"/>
  <c r="AY10" i="28"/>
  <c r="CJ10" i="28" s="1"/>
  <c r="AT10" i="28"/>
  <c r="AV10" i="28" s="1"/>
  <c r="AL10" i="28"/>
  <c r="AK10" i="28"/>
  <c r="AJ10" i="28"/>
  <c r="AZ13" i="28"/>
  <c r="CM9" i="28"/>
  <c r="CF9" i="28"/>
  <c r="BY9" i="28"/>
  <c r="BS9" i="28"/>
  <c r="BP9" i="28"/>
  <c r="BK9" i="28"/>
  <c r="BL9" i="28" s="1"/>
  <c r="BA9" i="28"/>
  <c r="BB9" i="28" s="1"/>
  <c r="AY9" i="28"/>
  <c r="CK9" i="28" s="1"/>
  <c r="AT9" i="28"/>
  <c r="AV9" i="28" s="1"/>
  <c r="AL9" i="28"/>
  <c r="AK9" i="28"/>
  <c r="AJ9" i="28"/>
  <c r="AR13" i="28"/>
  <c r="BL6" i="28"/>
  <c r="BC6" i="28"/>
  <c r="BJ5" i="28"/>
  <c r="BI5" i="28"/>
  <c r="BH5" i="28"/>
  <c r="AC10" i="17"/>
  <c r="AC9" i="17"/>
  <c r="AC8" i="17"/>
  <c r="AC7" i="17"/>
  <c r="AC6" i="17"/>
  <c r="S11" i="17"/>
  <c r="R11" i="17"/>
  <c r="R9" i="17"/>
  <c r="S9" i="17"/>
  <c r="T9" i="17"/>
  <c r="T10" i="17"/>
  <c r="S10" i="17"/>
  <c r="R10" i="17"/>
  <c r="T8" i="17"/>
  <c r="S8" i="17"/>
  <c r="R8" i="17"/>
  <c r="T7" i="17"/>
  <c r="S7" i="17"/>
  <c r="R7" i="17"/>
  <c r="T6" i="17"/>
  <c r="S6" i="17"/>
  <c r="R6" i="17"/>
  <c r="BF9" i="28" l="1"/>
  <c r="BF10" i="28"/>
  <c r="CN9" i="28"/>
  <c r="BE6" i="28"/>
  <c r="BC10" i="28"/>
  <c r="BD10" i="28"/>
  <c r="BE10" i="28" s="1"/>
  <c r="CH11" i="28"/>
  <c r="BC9" i="28"/>
  <c r="CN11" i="28"/>
  <c r="CG9" i="28"/>
  <c r="CN10" i="28"/>
  <c r="CH9" i="28"/>
  <c r="CI9" i="28"/>
  <c r="CG10" i="28"/>
  <c r="CL9" i="28"/>
  <c r="CG11" i="28"/>
  <c r="CH10" i="28"/>
  <c r="CI10" i="28"/>
  <c r="CL10" i="28"/>
  <c r="BD9" i="28"/>
  <c r="BE9" i="28" s="1"/>
  <c r="BL13" i="28"/>
  <c r="BK5" i="28"/>
  <c r="AT13" i="28"/>
  <c r="BK13" i="28"/>
  <c r="CI11" i="28"/>
  <c r="CJ9" i="28"/>
  <c r="CP11" i="28" l="1"/>
  <c r="B11" i="28" s="1"/>
  <c r="CO10" i="28"/>
  <c r="CP10" i="28"/>
  <c r="B10" i="28" s="1"/>
  <c r="CP9" i="28"/>
  <c r="B9" i="28" s="1"/>
  <c r="CO9" i="28"/>
  <c r="AV13" i="28"/>
  <c r="BL5" i="28"/>
  <c r="BE5" i="28"/>
  <c r="BC5" i="28"/>
  <c r="AW35" i="15" l="1"/>
  <c r="R62" i="15"/>
  <c r="AJ20" i="15"/>
  <c r="Z19" i="15"/>
  <c r="R22" i="15" l="1"/>
  <c r="AA14" i="15" l="1"/>
  <c r="L40" i="15"/>
  <c r="L22" i="15"/>
  <c r="K40" i="15"/>
  <c r="K22" i="15"/>
  <c r="K21" i="15"/>
  <c r="L21" i="15"/>
  <c r="L20" i="15"/>
  <c r="K20" i="15"/>
  <c r="L47" i="15"/>
  <c r="K47" i="15"/>
  <c r="M52" i="15"/>
  <c r="L52" i="15"/>
  <c r="K52" i="15"/>
  <c r="L56" i="15"/>
  <c r="K56" i="15"/>
  <c r="M46" i="15"/>
  <c r="L46" i="15"/>
  <c r="K46" i="15"/>
  <c r="L18" i="15"/>
  <c r="K18" i="15"/>
  <c r="K19" i="15"/>
  <c r="L19" i="15"/>
  <c r="K28" i="15"/>
  <c r="L28" i="15"/>
  <c r="K17" i="15"/>
  <c r="L17" i="15"/>
  <c r="K32" i="15"/>
  <c r="L32" i="15"/>
  <c r="M32" i="15"/>
  <c r="L16" i="15"/>
  <c r="K16" i="15"/>
  <c r="L15" i="15"/>
  <c r="K15" i="15"/>
  <c r="M63" i="15"/>
  <c r="L63" i="15"/>
  <c r="K63" i="15"/>
  <c r="M14" i="15"/>
  <c r="L14" i="15"/>
  <c r="K14" i="15"/>
  <c r="K55" i="15"/>
  <c r="L55" i="15"/>
  <c r="L44" i="15"/>
  <c r="K44" i="15"/>
  <c r="K62" i="15"/>
  <c r="L62" i="15"/>
  <c r="M13" i="15"/>
  <c r="L13" i="15"/>
  <c r="K13" i="15"/>
  <c r="M45" i="15"/>
  <c r="L45" i="15"/>
  <c r="K45" i="15"/>
  <c r="K42" i="15"/>
  <c r="L42" i="15"/>
  <c r="M42" i="15"/>
  <c r="L10" i="15"/>
  <c r="K10" i="15"/>
  <c r="K54" i="15"/>
  <c r="L54" i="15"/>
  <c r="L41" i="15"/>
  <c r="K41" i="15"/>
  <c r="M39" i="15"/>
  <c r="L39" i="15"/>
  <c r="K39" i="15"/>
  <c r="K31" i="15"/>
  <c r="L31" i="15"/>
  <c r="L9" i="15"/>
  <c r="K9" i="15"/>
  <c r="L8" i="15"/>
  <c r="K8" i="15"/>
  <c r="AA52" i="15"/>
  <c r="AA46" i="15"/>
  <c r="AA32" i="15"/>
  <c r="AA61" i="15"/>
  <c r="AA29" i="15"/>
  <c r="AA53" i="15"/>
  <c r="AA36" i="15"/>
  <c r="AA34" i="15"/>
  <c r="AA63" i="15"/>
  <c r="AA51" i="15"/>
  <c r="AA45" i="15"/>
  <c r="AA37" i="15"/>
  <c r="AA30" i="15"/>
  <c r="AA42" i="15"/>
  <c r="AA35" i="15"/>
  <c r="AA43" i="15"/>
  <c r="AA64" i="15"/>
  <c r="AA26" i="15"/>
  <c r="AA39" i="15"/>
  <c r="M61" i="15"/>
  <c r="L61" i="15"/>
  <c r="K61" i="15"/>
  <c r="M29" i="15"/>
  <c r="L29" i="15"/>
  <c r="K29" i="15"/>
  <c r="M36" i="15"/>
  <c r="L36" i="15"/>
  <c r="K36" i="15"/>
  <c r="L27" i="15"/>
  <c r="K27" i="15"/>
  <c r="AA58" i="15"/>
  <c r="M58" i="15"/>
  <c r="L58" i="15"/>
  <c r="K58" i="15"/>
  <c r="M34" i="15"/>
  <c r="L34" i="15"/>
  <c r="K34" i="15"/>
  <c r="M51" i="15"/>
  <c r="L51" i="15"/>
  <c r="K51" i="15"/>
  <c r="AA65" i="15"/>
  <c r="M65" i="15"/>
  <c r="L65" i="15"/>
  <c r="K65" i="15"/>
  <c r="AA57" i="15"/>
  <c r="M57" i="15"/>
  <c r="L57" i="15"/>
  <c r="K57" i="15"/>
  <c r="AA59" i="15"/>
  <c r="M59" i="15"/>
  <c r="L59" i="15"/>
  <c r="K59" i="15"/>
  <c r="AA48" i="15"/>
  <c r="M48" i="15"/>
  <c r="L48" i="15"/>
  <c r="K48" i="15"/>
  <c r="K11" i="15"/>
  <c r="L11" i="15"/>
  <c r="M53" i="15"/>
  <c r="L53" i="15"/>
  <c r="K53" i="15"/>
  <c r="M12" i="15"/>
  <c r="L12" i="15"/>
  <c r="K12" i="15"/>
  <c r="M30" i="15"/>
  <c r="L30" i="15"/>
  <c r="K30" i="15"/>
  <c r="M37" i="15"/>
  <c r="L37" i="15"/>
  <c r="K37" i="15"/>
  <c r="M35" i="15"/>
  <c r="L35" i="15"/>
  <c r="K35" i="15"/>
  <c r="M43" i="15"/>
  <c r="L43" i="15"/>
  <c r="K43" i="15"/>
  <c r="M64" i="15"/>
  <c r="L64" i="15"/>
  <c r="K64" i="15"/>
  <c r="L60" i="15"/>
  <c r="K60" i="15"/>
  <c r="L38" i="15"/>
  <c r="K38" i="15"/>
  <c r="L33" i="15"/>
  <c r="K33" i="15"/>
  <c r="L50" i="15"/>
  <c r="K50" i="15"/>
  <c r="P144" i="21"/>
  <c r="K144" i="21"/>
  <c r="L144" i="21" s="1"/>
  <c r="H144" i="21"/>
  <c r="D144" i="21"/>
  <c r="F144" i="21"/>
  <c r="L26" i="15"/>
  <c r="K26" i="15"/>
  <c r="L25" i="15"/>
  <c r="K25" i="15"/>
  <c r="L49" i="15"/>
  <c r="K49" i="15"/>
  <c r="P30" i="21"/>
  <c r="K30" i="21"/>
  <c r="H30" i="21"/>
  <c r="F30" i="21"/>
  <c r="D30" i="21"/>
  <c r="H29" i="21"/>
  <c r="H31" i="21"/>
  <c r="H32" i="21"/>
  <c r="H33" i="21"/>
  <c r="K29" i="21"/>
  <c r="P29" i="21"/>
  <c r="O12" i="21"/>
  <c r="J12" i="21"/>
  <c r="I12" i="21"/>
  <c r="G12" i="21"/>
  <c r="C12" i="21"/>
  <c r="R63" i="15"/>
  <c r="M50" i="15" l="1"/>
  <c r="N144" i="21"/>
  <c r="Q144" i="21" s="1"/>
  <c r="S144" i="21" s="1"/>
  <c r="M144" i="21"/>
  <c r="T49" i="15"/>
  <c r="T9" i="15"/>
  <c r="V9" i="15" s="1"/>
  <c r="T31" i="15"/>
  <c r="T39" i="15"/>
  <c r="U90" i="15"/>
  <c r="O90" i="15"/>
  <c r="N90" i="15"/>
  <c r="S85" i="15"/>
  <c r="S89" i="15" s="1"/>
  <c r="AE5" i="15" s="1"/>
  <c r="AC5" i="15"/>
  <c r="V90" i="15" l="1"/>
  <c r="R144" i="21"/>
  <c r="U144" i="21"/>
  <c r="T144" i="21"/>
  <c r="F535" i="25"/>
  <c r="F534" i="25"/>
  <c r="F532" i="25"/>
  <c r="F531" i="25"/>
  <c r="F530" i="25"/>
  <c r="F529" i="25"/>
  <c r="F528" i="25"/>
  <c r="F527" i="25"/>
  <c r="F526" i="25"/>
  <c r="F525" i="25"/>
  <c r="F524" i="25"/>
  <c r="F523" i="25"/>
  <c r="F522" i="25"/>
  <c r="F521" i="25"/>
  <c r="F520" i="25"/>
  <c r="F519" i="25"/>
  <c r="F518" i="25"/>
  <c r="F517" i="25"/>
  <c r="F515" i="25"/>
  <c r="F514" i="25"/>
  <c r="F513" i="25"/>
  <c r="F512" i="25"/>
  <c r="F511" i="25"/>
  <c r="F510" i="25"/>
  <c r="F509" i="25"/>
  <c r="F508" i="25"/>
  <c r="F507" i="25"/>
  <c r="F504" i="25"/>
  <c r="F503" i="25"/>
  <c r="F502" i="25"/>
  <c r="F501" i="25"/>
  <c r="F500" i="25"/>
  <c r="F499" i="25"/>
  <c r="F498" i="25"/>
  <c r="F497" i="25"/>
  <c r="F496" i="25"/>
  <c r="F495" i="25"/>
  <c r="F494" i="25"/>
  <c r="F493" i="25"/>
  <c r="F492" i="25"/>
  <c r="F491" i="25"/>
  <c r="F490" i="25"/>
  <c r="F489" i="25"/>
  <c r="F488" i="25"/>
  <c r="F487" i="25"/>
  <c r="F486" i="25"/>
  <c r="F485" i="25"/>
  <c r="F484" i="25"/>
  <c r="F483" i="25"/>
  <c r="F482" i="25"/>
  <c r="F481" i="25"/>
  <c r="F480" i="25"/>
  <c r="F479" i="25"/>
  <c r="F478" i="25"/>
  <c r="F477" i="25"/>
  <c r="F476" i="25"/>
  <c r="F475" i="25"/>
  <c r="F474" i="25"/>
  <c r="F472" i="25"/>
  <c r="F471" i="25"/>
  <c r="F470" i="25"/>
  <c r="F469" i="25"/>
  <c r="F468" i="25"/>
  <c r="F467" i="25"/>
  <c r="F466" i="25"/>
  <c r="F465" i="25"/>
  <c r="F464" i="25"/>
  <c r="F463" i="25"/>
  <c r="F462" i="25"/>
  <c r="F461" i="25"/>
  <c r="F460" i="25"/>
  <c r="F459" i="25"/>
  <c r="F458" i="25"/>
  <c r="F457" i="25"/>
  <c r="F456" i="25"/>
  <c r="F455" i="25"/>
  <c r="F454" i="25"/>
  <c r="F453" i="25"/>
  <c r="F452" i="25"/>
  <c r="F451" i="25"/>
  <c r="F450" i="25"/>
  <c r="F449" i="25"/>
  <c r="F448" i="25"/>
  <c r="F447" i="25"/>
  <c r="F446" i="25"/>
  <c r="F445" i="25"/>
  <c r="F444" i="25"/>
  <c r="F443" i="25"/>
  <c r="F442" i="25"/>
  <c r="F441" i="25"/>
  <c r="F440" i="25"/>
  <c r="F439" i="25"/>
  <c r="F438" i="25"/>
  <c r="F437" i="25"/>
  <c r="F436" i="25"/>
  <c r="F434" i="25"/>
  <c r="F433" i="25"/>
  <c r="F432" i="25"/>
  <c r="F431" i="25"/>
  <c r="F430" i="25"/>
  <c r="F429" i="25"/>
  <c r="F428" i="25"/>
  <c r="F427" i="25"/>
  <c r="F426" i="25"/>
  <c r="F425" i="25"/>
  <c r="F424" i="25"/>
  <c r="F423" i="25"/>
  <c r="F422" i="25"/>
  <c r="F421" i="25"/>
  <c r="F420" i="25"/>
  <c r="F419" i="25"/>
  <c r="F418" i="25"/>
  <c r="F417" i="25"/>
  <c r="F415" i="25"/>
  <c r="F414" i="25"/>
  <c r="F413" i="25"/>
  <c r="F412" i="25"/>
  <c r="F411" i="25"/>
  <c r="F410" i="25"/>
  <c r="F409" i="25"/>
  <c r="F408" i="25"/>
  <c r="F407" i="25"/>
  <c r="F406" i="25"/>
  <c r="F405" i="25"/>
  <c r="F404" i="25"/>
  <c r="F403" i="25"/>
  <c r="F402" i="25"/>
  <c r="F401" i="25"/>
  <c r="F400" i="25"/>
  <c r="F399" i="25"/>
  <c r="F398" i="25"/>
  <c r="F397" i="25"/>
  <c r="F396" i="25"/>
  <c r="F395" i="25"/>
  <c r="F394" i="25"/>
  <c r="F393" i="25"/>
  <c r="F392" i="25"/>
  <c r="F391" i="25"/>
  <c r="F390" i="25"/>
  <c r="F389" i="25"/>
  <c r="F388" i="25"/>
  <c r="F387" i="25"/>
  <c r="F386" i="25"/>
  <c r="F385" i="25"/>
  <c r="F384" i="25"/>
  <c r="F383" i="25"/>
  <c r="F382" i="25"/>
  <c r="F381" i="25"/>
  <c r="F380" i="25"/>
  <c r="F379" i="25"/>
  <c r="F378" i="25"/>
  <c r="F377" i="25"/>
  <c r="F376" i="25"/>
  <c r="F375" i="25"/>
  <c r="F374" i="25"/>
  <c r="F373" i="25"/>
  <c r="F371" i="25"/>
  <c r="F370" i="25"/>
  <c r="F369" i="25"/>
  <c r="F367" i="25"/>
  <c r="F366" i="25"/>
  <c r="F365" i="25"/>
  <c r="F364" i="25"/>
  <c r="F363" i="25"/>
  <c r="F362" i="25"/>
  <c r="F361" i="25"/>
  <c r="F360" i="25"/>
  <c r="F359" i="25"/>
  <c r="F358" i="25"/>
  <c r="F357" i="25"/>
  <c r="F356" i="25"/>
  <c r="F355" i="25"/>
  <c r="F354" i="25"/>
  <c r="F353" i="25"/>
  <c r="F352" i="25"/>
  <c r="F351" i="25"/>
  <c r="F350" i="25"/>
  <c r="F348" i="25"/>
  <c r="F347" i="25"/>
  <c r="F346" i="25"/>
  <c r="F345" i="25"/>
  <c r="F344" i="25"/>
  <c r="F343" i="25"/>
  <c r="F338" i="25"/>
  <c r="F335" i="25"/>
  <c r="F334" i="25"/>
  <c r="F333" i="25"/>
  <c r="F332" i="25"/>
  <c r="F331" i="25"/>
  <c r="F330" i="25"/>
  <c r="F328" i="25"/>
  <c r="F326" i="25"/>
  <c r="F325" i="25"/>
  <c r="F324" i="25"/>
  <c r="F323" i="25"/>
  <c r="F322" i="25"/>
  <c r="F321" i="25"/>
  <c r="F320" i="25"/>
  <c r="F319" i="25"/>
  <c r="F318" i="25"/>
  <c r="F317" i="25"/>
  <c r="F316" i="25"/>
  <c r="F315" i="25"/>
  <c r="F314" i="25"/>
  <c r="F313" i="25"/>
  <c r="F312" i="25"/>
  <c r="F311" i="25"/>
  <c r="F310" i="25"/>
  <c r="F308" i="25"/>
  <c r="F307" i="25"/>
  <c r="F306" i="25"/>
  <c r="F305" i="25"/>
  <c r="F304" i="25"/>
  <c r="F302" i="25"/>
  <c r="F301" i="25"/>
  <c r="F300" i="25"/>
  <c r="F299" i="25"/>
  <c r="F298" i="25"/>
  <c r="F297" i="25"/>
  <c r="F295" i="25"/>
  <c r="F294" i="25"/>
  <c r="F293" i="25"/>
  <c r="F292" i="25"/>
  <c r="F291" i="25"/>
  <c r="F290" i="25"/>
  <c r="F289" i="25"/>
  <c r="F288" i="25"/>
  <c r="F287" i="25"/>
  <c r="F286" i="25"/>
  <c r="F285" i="25"/>
  <c r="F284" i="25"/>
  <c r="F283" i="25"/>
  <c r="F282" i="25"/>
  <c r="F281" i="25"/>
  <c r="F280" i="25"/>
  <c r="F279" i="25"/>
  <c r="F278" i="25"/>
  <c r="F276" i="25"/>
  <c r="F275" i="25"/>
  <c r="F274" i="25"/>
  <c r="F273" i="25"/>
  <c r="F272" i="25"/>
  <c r="F271" i="25"/>
  <c r="F270" i="25"/>
  <c r="F269" i="25"/>
  <c r="F268" i="25"/>
  <c r="F267" i="25"/>
  <c r="F266" i="25"/>
  <c r="F265" i="25"/>
  <c r="F264" i="25"/>
  <c r="F263" i="25"/>
  <c r="F261" i="25"/>
  <c r="F260" i="25"/>
  <c r="F259" i="25"/>
  <c r="F258" i="25"/>
  <c r="F257" i="25"/>
  <c r="F256" i="25"/>
  <c r="F255" i="25"/>
  <c r="F254" i="25"/>
  <c r="F253" i="25"/>
  <c r="F252" i="25"/>
  <c r="F251" i="25"/>
  <c r="F250" i="25"/>
  <c r="F249" i="25"/>
  <c r="F248" i="25"/>
  <c r="F247" i="25"/>
  <c r="F246" i="25"/>
  <c r="F245" i="25"/>
  <c r="F244" i="25"/>
  <c r="F243" i="25"/>
  <c r="F242" i="25"/>
  <c r="F241" i="25"/>
  <c r="F239" i="25"/>
  <c r="F238" i="25"/>
  <c r="F237" i="25"/>
  <c r="F235" i="25"/>
  <c r="F234" i="25"/>
  <c r="F233" i="25"/>
  <c r="F232" i="25"/>
  <c r="F231" i="25"/>
  <c r="F230" i="25"/>
  <c r="F229" i="25"/>
  <c r="F228" i="25"/>
  <c r="F227" i="25"/>
  <c r="F226" i="25"/>
  <c r="F225" i="25"/>
  <c r="F224" i="25"/>
  <c r="F222" i="25"/>
  <c r="F221" i="25"/>
  <c r="F220" i="25"/>
  <c r="F219" i="25"/>
  <c r="F218" i="25"/>
  <c r="F217" i="25"/>
  <c r="F216" i="25"/>
  <c r="F215" i="25"/>
  <c r="F214" i="25"/>
  <c r="F213" i="25"/>
  <c r="F212" i="25"/>
  <c r="F210" i="25"/>
  <c r="F209" i="25"/>
  <c r="F208" i="25"/>
  <c r="F207" i="25"/>
  <c r="F206" i="25"/>
  <c r="F205" i="25"/>
  <c r="F204" i="25"/>
  <c r="F203" i="25"/>
  <c r="F202" i="25"/>
  <c r="F201" i="25"/>
  <c r="F200" i="25"/>
  <c r="F199" i="25"/>
  <c r="F198" i="25"/>
  <c r="F197" i="25"/>
  <c r="F196" i="25"/>
  <c r="F195" i="25"/>
  <c r="F194" i="25"/>
  <c r="F193" i="25"/>
  <c r="F192" i="25"/>
  <c r="F191" i="25"/>
  <c r="F190" i="25"/>
  <c r="F189" i="25"/>
  <c r="F188" i="25"/>
  <c r="F187" i="25"/>
  <c r="F186" i="25"/>
  <c r="F185" i="25"/>
  <c r="F184" i="25"/>
  <c r="F182" i="25"/>
  <c r="F181" i="25"/>
  <c r="F180" i="25"/>
  <c r="F179" i="25"/>
  <c r="F178" i="25"/>
  <c r="F177" i="25"/>
  <c r="F176" i="25"/>
  <c r="F175" i="25"/>
  <c r="F174" i="25"/>
  <c r="F173" i="25"/>
  <c r="F171" i="25"/>
  <c r="F170" i="25"/>
  <c r="F169" i="25"/>
  <c r="F168" i="25"/>
  <c r="F167" i="25"/>
  <c r="F166" i="25"/>
  <c r="F165" i="25"/>
  <c r="F164" i="25"/>
  <c r="F163" i="25"/>
  <c r="F162" i="25"/>
  <c r="F161" i="25"/>
  <c r="F160" i="25"/>
  <c r="F159" i="25"/>
  <c r="F158" i="25"/>
  <c r="F157" i="25"/>
  <c r="F156" i="25"/>
  <c r="F155" i="25"/>
  <c r="F154" i="25"/>
  <c r="F153" i="25"/>
  <c r="F152" i="25"/>
  <c r="F151" i="25"/>
  <c r="F150" i="25"/>
  <c r="F149" i="25"/>
  <c r="F148" i="25"/>
  <c r="F147" i="25"/>
  <c r="F146" i="25"/>
  <c r="F145" i="25"/>
  <c r="F144" i="25"/>
  <c r="F143" i="25"/>
  <c r="F142" i="25"/>
  <c r="F141" i="25"/>
  <c r="F140" i="25"/>
  <c r="F139" i="25"/>
  <c r="F138" i="25"/>
  <c r="F137" i="25"/>
  <c r="F136" i="25"/>
  <c r="F135" i="25"/>
  <c r="F134" i="25"/>
  <c r="F133" i="25"/>
  <c r="F132" i="25"/>
  <c r="F131" i="25"/>
  <c r="F130" i="25"/>
  <c r="F129" i="25"/>
  <c r="F128" i="25"/>
  <c r="F127" i="25"/>
  <c r="F126" i="25"/>
  <c r="F125" i="25"/>
  <c r="F124" i="25"/>
  <c r="F123" i="25"/>
  <c r="F122" i="25"/>
  <c r="F121" i="25"/>
  <c r="F120" i="25"/>
  <c r="F119" i="25"/>
  <c r="F118" i="25"/>
  <c r="F117" i="25"/>
  <c r="F115" i="25"/>
  <c r="F114" i="25"/>
  <c r="F113" i="25"/>
  <c r="F112" i="25"/>
  <c r="F111" i="25"/>
  <c r="F110" i="25"/>
  <c r="F109" i="25"/>
  <c r="F108" i="25"/>
  <c r="F107" i="25"/>
  <c r="F106" i="25"/>
  <c r="F105" i="25"/>
  <c r="F104" i="25"/>
  <c r="F103" i="25"/>
  <c r="F102" i="25"/>
  <c r="F101" i="25"/>
  <c r="F100" i="25"/>
  <c r="F98" i="25"/>
  <c r="F97" i="25"/>
  <c r="F96" i="25"/>
  <c r="F95" i="25"/>
  <c r="F94" i="25"/>
  <c r="F93" i="25"/>
  <c r="F92" i="25"/>
  <c r="F91" i="25"/>
  <c r="F89" i="25"/>
  <c r="F88" i="25"/>
  <c r="F87" i="25"/>
  <c r="F86" i="25"/>
  <c r="F85" i="25"/>
  <c r="F84" i="25"/>
  <c r="F83" i="25"/>
  <c r="F82" i="25"/>
  <c r="F81" i="25"/>
  <c r="F80" i="25"/>
  <c r="F79" i="25"/>
  <c r="F78" i="25"/>
  <c r="F77" i="25"/>
  <c r="F76" i="25"/>
  <c r="F72" i="25"/>
  <c r="F71" i="25"/>
  <c r="F70" i="25"/>
  <c r="F69" i="25"/>
  <c r="F68" i="25"/>
  <c r="F67" i="25"/>
  <c r="F65" i="25"/>
  <c r="F64" i="25"/>
  <c r="F63" i="25"/>
  <c r="F62" i="25"/>
  <c r="F61" i="25"/>
  <c r="F60" i="25"/>
  <c r="F59" i="25"/>
  <c r="F58" i="25"/>
  <c r="F57" i="25"/>
  <c r="F56" i="25"/>
  <c r="F55" i="25"/>
  <c r="F54" i="25"/>
  <c r="F53" i="25"/>
  <c r="F52" i="25"/>
  <c r="F51" i="25"/>
  <c r="F50" i="25"/>
  <c r="F49" i="25"/>
  <c r="F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F12" i="25"/>
  <c r="F11" i="25"/>
  <c r="F10" i="25"/>
  <c r="F9" i="25"/>
  <c r="F8" i="25"/>
  <c r="F7" i="25"/>
  <c r="F6" i="25"/>
  <c r="F5" i="25"/>
  <c r="F4" i="25"/>
  <c r="F3" i="25"/>
  <c r="AK5" i="15" l="1"/>
  <c r="U89" i="15"/>
  <c r="U92" i="15" s="1"/>
  <c r="U94" i="15" s="1"/>
  <c r="S92" i="15" l="1"/>
  <c r="O89" i="15"/>
  <c r="O92" i="15" s="1"/>
  <c r="N89" i="15"/>
  <c r="N92" i="15" s="1"/>
  <c r="T89" i="15"/>
  <c r="T92" i="15" s="1"/>
  <c r="R93" i="15" l="1"/>
  <c r="Q89" i="15"/>
  <c r="Q92" i="15" s="1"/>
  <c r="N93" i="15" s="1"/>
  <c r="AO39" i="15"/>
  <c r="AO25" i="15"/>
  <c r="AO41" i="15"/>
  <c r="AO50" i="15"/>
  <c r="AO26" i="15"/>
  <c r="AO33" i="15"/>
  <c r="AO38" i="15"/>
  <c r="AO60" i="15"/>
  <c r="AO54" i="15"/>
  <c r="AO44" i="15"/>
  <c r="AO64" i="15"/>
  <c r="AO10" i="15"/>
  <c r="AO43" i="15"/>
  <c r="AO35" i="15"/>
  <c r="AO42" i="15"/>
  <c r="AO30" i="15"/>
  <c r="AO37" i="15"/>
  <c r="AO11" i="15"/>
  <c r="AO48" i="15"/>
  <c r="AO45" i="15"/>
  <c r="AO12" i="15"/>
  <c r="AO59" i="15"/>
  <c r="AO13" i="15"/>
  <c r="AO57" i="15"/>
  <c r="AO65" i="15"/>
  <c r="AO62" i="15"/>
  <c r="AO51" i="15"/>
  <c r="AO14" i="15"/>
  <c r="AO63" i="15"/>
  <c r="AO55" i="15"/>
  <c r="AO34" i="15"/>
  <c r="AO58" i="15"/>
  <c r="AO15" i="15"/>
  <c r="AO27" i="15"/>
  <c r="AO36" i="15"/>
  <c r="AO53" i="15"/>
  <c r="AO61" i="15"/>
  <c r="AO16" i="15"/>
  <c r="AO32" i="15"/>
  <c r="AO17" i="15"/>
  <c r="AO28" i="15"/>
  <c r="AO19" i="15"/>
  <c r="AO46" i="15"/>
  <c r="AO56" i="15"/>
  <c r="AO52" i="15"/>
  <c r="AO47" i="15"/>
  <c r="AO20" i="15"/>
  <c r="AO29" i="15"/>
  <c r="AO21" i="15"/>
  <c r="AO22" i="15"/>
  <c r="AO40" i="15"/>
  <c r="AO66" i="15"/>
  <c r="AO18" i="15"/>
  <c r="AO9" i="15"/>
  <c r="AO31" i="15"/>
  <c r="AO49" i="15"/>
  <c r="Z68" i="15"/>
  <c r="U68" i="15"/>
  <c r="S68" i="15"/>
  <c r="R68" i="15"/>
  <c r="V49" i="15"/>
  <c r="AE12" i="17" l="1"/>
  <c r="AJ27" i="15" l="1"/>
  <c r="P71" i="21" l="1"/>
  <c r="E69" i="21"/>
  <c r="O190" i="21"/>
  <c r="O180" i="21"/>
  <c r="O179" i="21"/>
  <c r="O178" i="21"/>
  <c r="O177" i="21"/>
  <c r="O176" i="21"/>
  <c r="P175" i="21"/>
  <c r="K175" i="21"/>
  <c r="H175" i="21"/>
  <c r="F175" i="21"/>
  <c r="D175" i="21"/>
  <c r="P174" i="21"/>
  <c r="K174" i="21"/>
  <c r="H174" i="21"/>
  <c r="F174" i="21"/>
  <c r="D174" i="21"/>
  <c r="P173" i="21"/>
  <c r="K173" i="21"/>
  <c r="H173" i="21"/>
  <c r="F173" i="21"/>
  <c r="D173" i="21"/>
  <c r="P172" i="21"/>
  <c r="K172" i="21"/>
  <c r="H172" i="21"/>
  <c r="F172" i="21"/>
  <c r="D172" i="21"/>
  <c r="P171" i="21"/>
  <c r="K171" i="21"/>
  <c r="H171" i="21"/>
  <c r="F171" i="21"/>
  <c r="D171" i="21"/>
  <c r="P170" i="21"/>
  <c r="K170" i="21"/>
  <c r="H170" i="21"/>
  <c r="F170" i="21"/>
  <c r="D170" i="21"/>
  <c r="P169" i="21"/>
  <c r="K169" i="21"/>
  <c r="H169" i="21"/>
  <c r="F169" i="21"/>
  <c r="D169" i="21"/>
  <c r="P168" i="21"/>
  <c r="K168" i="21"/>
  <c r="H168" i="21"/>
  <c r="F168" i="21"/>
  <c r="D168" i="21"/>
  <c r="P167" i="21"/>
  <c r="K167" i="21"/>
  <c r="H167" i="21"/>
  <c r="F167" i="21"/>
  <c r="D167" i="21"/>
  <c r="P166" i="21"/>
  <c r="K166" i="21"/>
  <c r="H166" i="21"/>
  <c r="F166" i="21"/>
  <c r="D166" i="21"/>
  <c r="P165" i="21"/>
  <c r="T11" i="17" s="1"/>
  <c r="K165" i="21"/>
  <c r="H165" i="21"/>
  <c r="F165" i="21"/>
  <c r="D165" i="21"/>
  <c r="P164" i="21"/>
  <c r="K164" i="21"/>
  <c r="H164" i="21"/>
  <c r="F164" i="21"/>
  <c r="D164" i="21"/>
  <c r="P163" i="21"/>
  <c r="K163" i="21"/>
  <c r="H163" i="21"/>
  <c r="F163" i="21"/>
  <c r="D163" i="21"/>
  <c r="P162" i="21"/>
  <c r="K162" i="21"/>
  <c r="H162" i="21"/>
  <c r="F162" i="21"/>
  <c r="D162" i="21"/>
  <c r="P161" i="21"/>
  <c r="K161" i="21"/>
  <c r="H161" i="21"/>
  <c r="F161" i="21"/>
  <c r="D161" i="21"/>
  <c r="P160" i="21"/>
  <c r="K160" i="21"/>
  <c r="H160" i="21"/>
  <c r="F160" i="21"/>
  <c r="D160" i="21"/>
  <c r="P159" i="21"/>
  <c r="K159" i="21"/>
  <c r="H159" i="21"/>
  <c r="F159" i="21"/>
  <c r="D159" i="21"/>
  <c r="P158" i="21"/>
  <c r="K158" i="21"/>
  <c r="H158" i="21"/>
  <c r="F158" i="21"/>
  <c r="D158" i="21"/>
  <c r="P157" i="21"/>
  <c r="K157" i="21"/>
  <c r="H157" i="21"/>
  <c r="F157" i="21"/>
  <c r="D157" i="21"/>
  <c r="P156" i="21"/>
  <c r="K156" i="21"/>
  <c r="H156" i="21"/>
  <c r="F156" i="21"/>
  <c r="D156" i="21"/>
  <c r="P155" i="21"/>
  <c r="K155" i="21"/>
  <c r="H155" i="21"/>
  <c r="F155" i="21"/>
  <c r="D155" i="21"/>
  <c r="P154" i="21"/>
  <c r="K154" i="21"/>
  <c r="H154" i="21"/>
  <c r="F154" i="21"/>
  <c r="D154" i="21"/>
  <c r="P153" i="21"/>
  <c r="K153" i="21"/>
  <c r="H153" i="21"/>
  <c r="F153" i="21"/>
  <c r="D153" i="21"/>
  <c r="P152" i="21"/>
  <c r="K152" i="21"/>
  <c r="H152" i="21"/>
  <c r="F152" i="21"/>
  <c r="D152" i="21"/>
  <c r="P151" i="21"/>
  <c r="K151" i="21"/>
  <c r="H151" i="21"/>
  <c r="F151" i="21"/>
  <c r="D151" i="21"/>
  <c r="P150" i="21"/>
  <c r="M56" i="15" s="1"/>
  <c r="K150" i="21"/>
  <c r="H150" i="21"/>
  <c r="F150" i="21"/>
  <c r="D150" i="21"/>
  <c r="P149" i="21"/>
  <c r="K149" i="21"/>
  <c r="H149" i="21"/>
  <c r="F149" i="21"/>
  <c r="D149" i="21"/>
  <c r="P148" i="21"/>
  <c r="K148" i="21"/>
  <c r="H148" i="21"/>
  <c r="F148" i="21"/>
  <c r="D148" i="21"/>
  <c r="P147" i="21"/>
  <c r="K147" i="21"/>
  <c r="H147" i="21"/>
  <c r="F147" i="21"/>
  <c r="D147" i="21"/>
  <c r="P146" i="21"/>
  <c r="K146" i="21"/>
  <c r="H146" i="21"/>
  <c r="F146" i="21"/>
  <c r="D146" i="21"/>
  <c r="P145" i="21"/>
  <c r="K145" i="21"/>
  <c r="H145" i="21"/>
  <c r="F145" i="21"/>
  <c r="D145" i="21"/>
  <c r="K143" i="21"/>
  <c r="H143" i="21"/>
  <c r="F143" i="21"/>
  <c r="D143" i="21"/>
  <c r="P142" i="21"/>
  <c r="K142" i="21"/>
  <c r="H142" i="21"/>
  <c r="F142" i="21"/>
  <c r="D142" i="21"/>
  <c r="P141" i="21"/>
  <c r="K141" i="21"/>
  <c r="H141" i="21"/>
  <c r="F141" i="21"/>
  <c r="D141" i="21"/>
  <c r="P140" i="21"/>
  <c r="K140" i="21"/>
  <c r="H140" i="21"/>
  <c r="F140" i="21"/>
  <c r="D140" i="21"/>
  <c r="P139" i="21"/>
  <c r="K139" i="21"/>
  <c r="H139" i="21"/>
  <c r="F139" i="21"/>
  <c r="D139" i="21"/>
  <c r="P138" i="21"/>
  <c r="K138" i="21"/>
  <c r="H138" i="21"/>
  <c r="F138" i="21"/>
  <c r="D138" i="21"/>
  <c r="P137" i="21"/>
  <c r="M19" i="15" s="1"/>
  <c r="K137" i="21"/>
  <c r="H137" i="21"/>
  <c r="F137" i="21"/>
  <c r="D137" i="21"/>
  <c r="P136" i="21"/>
  <c r="M28" i="15" s="1"/>
  <c r="K136" i="21"/>
  <c r="H136" i="21"/>
  <c r="F136" i="21"/>
  <c r="D136" i="21"/>
  <c r="P135" i="21"/>
  <c r="K135" i="21"/>
  <c r="H135" i="21"/>
  <c r="F135" i="21"/>
  <c r="D135" i="21"/>
  <c r="P134" i="21"/>
  <c r="K134" i="21"/>
  <c r="H134" i="21"/>
  <c r="F134" i="21"/>
  <c r="D134" i="21"/>
  <c r="P133" i="21"/>
  <c r="K133" i="21"/>
  <c r="H133" i="21"/>
  <c r="F133" i="21"/>
  <c r="D133" i="21"/>
  <c r="P132" i="21"/>
  <c r="M16" i="15" s="1"/>
  <c r="K132" i="21"/>
  <c r="H132" i="21"/>
  <c r="F132" i="21"/>
  <c r="D132" i="21"/>
  <c r="P131" i="21"/>
  <c r="K131" i="21"/>
  <c r="H131" i="21"/>
  <c r="F131" i="21"/>
  <c r="D131" i="21"/>
  <c r="P130" i="21"/>
  <c r="K130" i="21"/>
  <c r="H130" i="21"/>
  <c r="F130" i="21"/>
  <c r="D130" i="21"/>
  <c r="P129" i="21"/>
  <c r="K129" i="21"/>
  <c r="H129" i="21"/>
  <c r="F129" i="21"/>
  <c r="D129" i="21"/>
  <c r="P128" i="21"/>
  <c r="K128" i="21"/>
  <c r="H128" i="21"/>
  <c r="F128" i="21"/>
  <c r="D128" i="21"/>
  <c r="P127" i="21"/>
  <c r="K127" i="21"/>
  <c r="H127" i="21"/>
  <c r="F127" i="21"/>
  <c r="D127" i="21"/>
  <c r="K126" i="21"/>
  <c r="H126" i="21"/>
  <c r="F126" i="21"/>
  <c r="D126" i="21"/>
  <c r="P125" i="21"/>
  <c r="K125" i="21"/>
  <c r="H125" i="21"/>
  <c r="F125" i="21"/>
  <c r="D125" i="21"/>
  <c r="K124" i="21"/>
  <c r="H124" i="21"/>
  <c r="F124" i="21"/>
  <c r="D124" i="21"/>
  <c r="K123" i="21"/>
  <c r="H123" i="21"/>
  <c r="F123" i="21"/>
  <c r="D123" i="21"/>
  <c r="P122" i="21"/>
  <c r="K122" i="21"/>
  <c r="H122" i="21"/>
  <c r="F122" i="21"/>
  <c r="D122" i="21"/>
  <c r="P121" i="21"/>
  <c r="K121" i="21"/>
  <c r="H121" i="21"/>
  <c r="F121" i="21"/>
  <c r="D121" i="21"/>
  <c r="P120" i="21"/>
  <c r="K120" i="21"/>
  <c r="H120" i="21"/>
  <c r="F120" i="21"/>
  <c r="D120" i="21"/>
  <c r="P119" i="21"/>
  <c r="K119" i="21"/>
  <c r="H119" i="21"/>
  <c r="F119" i="21"/>
  <c r="D119" i="21"/>
  <c r="P118" i="21"/>
  <c r="M27" i="15" s="1"/>
  <c r="K118" i="21"/>
  <c r="H118" i="21"/>
  <c r="F118" i="21"/>
  <c r="D118" i="21"/>
  <c r="P117" i="21"/>
  <c r="K117" i="21"/>
  <c r="H117" i="21"/>
  <c r="F117" i="21"/>
  <c r="D117" i="21"/>
  <c r="P116" i="21"/>
  <c r="K116" i="21"/>
  <c r="H116" i="21"/>
  <c r="F116" i="21"/>
  <c r="D116" i="21"/>
  <c r="P115" i="21"/>
  <c r="K115" i="21"/>
  <c r="H115" i="21"/>
  <c r="F115" i="21"/>
  <c r="D115" i="21"/>
  <c r="P114" i="21"/>
  <c r="M15" i="15" s="1"/>
  <c r="K114" i="21"/>
  <c r="H114" i="21"/>
  <c r="F114" i="21"/>
  <c r="D114" i="21"/>
  <c r="P113" i="21"/>
  <c r="K113" i="21"/>
  <c r="H113" i="21"/>
  <c r="F113" i="21"/>
  <c r="D113" i="21"/>
  <c r="P112" i="21"/>
  <c r="K112" i="21"/>
  <c r="H112" i="21"/>
  <c r="F112" i="21"/>
  <c r="D112" i="21"/>
  <c r="P111" i="21"/>
  <c r="K111" i="21"/>
  <c r="H111" i="21"/>
  <c r="F111" i="21"/>
  <c r="D111" i="21"/>
  <c r="P110" i="21"/>
  <c r="K110" i="21"/>
  <c r="H110" i="21"/>
  <c r="F110" i="21"/>
  <c r="D110" i="21"/>
  <c r="P109" i="21"/>
  <c r="K109" i="21"/>
  <c r="H109" i="21"/>
  <c r="F109" i="21"/>
  <c r="D109" i="21"/>
  <c r="K108" i="21"/>
  <c r="H108" i="21"/>
  <c r="F108" i="21"/>
  <c r="D108" i="21"/>
  <c r="P107" i="21"/>
  <c r="K107" i="21"/>
  <c r="H107" i="21"/>
  <c r="F107" i="21"/>
  <c r="D107" i="21"/>
  <c r="P106" i="21"/>
  <c r="K106" i="21"/>
  <c r="H106" i="21"/>
  <c r="F106" i="21"/>
  <c r="D106" i="21"/>
  <c r="P105" i="21"/>
  <c r="K105" i="21"/>
  <c r="H105" i="21"/>
  <c r="F105" i="21"/>
  <c r="D105" i="21"/>
  <c r="P104" i="21"/>
  <c r="M55" i="15" s="1"/>
  <c r="K104" i="21"/>
  <c r="H104" i="21"/>
  <c r="F104" i="21"/>
  <c r="D104" i="21"/>
  <c r="P103" i="21"/>
  <c r="K103" i="21"/>
  <c r="H103" i="21"/>
  <c r="F103" i="21"/>
  <c r="D103" i="21"/>
  <c r="P102" i="21"/>
  <c r="K102" i="21"/>
  <c r="H102" i="21"/>
  <c r="F102" i="21"/>
  <c r="D102" i="21"/>
  <c r="P101" i="21"/>
  <c r="K101" i="21"/>
  <c r="H101" i="21"/>
  <c r="F101" i="21"/>
  <c r="D101" i="21"/>
  <c r="P100" i="21"/>
  <c r="K100" i="21"/>
  <c r="H100" i="21"/>
  <c r="F100" i="21"/>
  <c r="D100" i="21"/>
  <c r="P99" i="21"/>
  <c r="K99" i="21"/>
  <c r="H99" i="21"/>
  <c r="F99" i="21"/>
  <c r="D99" i="21"/>
  <c r="P98" i="21"/>
  <c r="K98" i="21"/>
  <c r="H98" i="21"/>
  <c r="F98" i="21"/>
  <c r="D98" i="21"/>
  <c r="P97" i="21"/>
  <c r="K97" i="21"/>
  <c r="H97" i="21"/>
  <c r="F97" i="21"/>
  <c r="D97" i="21"/>
  <c r="P96" i="21"/>
  <c r="K96" i="21"/>
  <c r="H96" i="21"/>
  <c r="F96" i="21"/>
  <c r="D96" i="21"/>
  <c r="P95" i="21"/>
  <c r="K95" i="21"/>
  <c r="H95" i="21"/>
  <c r="F95" i="21"/>
  <c r="D95" i="21"/>
  <c r="P94" i="21"/>
  <c r="K94" i="21"/>
  <c r="H94" i="21"/>
  <c r="F94" i="21"/>
  <c r="D94" i="21"/>
  <c r="P93" i="21"/>
  <c r="K93" i="21"/>
  <c r="H93" i="21"/>
  <c r="F93" i="21"/>
  <c r="D93" i="21"/>
  <c r="P92" i="21"/>
  <c r="K92" i="21"/>
  <c r="H92" i="21"/>
  <c r="F92" i="21"/>
  <c r="D92" i="21"/>
  <c r="P91" i="21"/>
  <c r="K91" i="21"/>
  <c r="H91" i="21"/>
  <c r="F91" i="21"/>
  <c r="D91" i="21"/>
  <c r="P90" i="21"/>
  <c r="K90" i="21"/>
  <c r="H90" i="21"/>
  <c r="F90" i="21"/>
  <c r="D90" i="21"/>
  <c r="P89" i="21"/>
  <c r="K89" i="21"/>
  <c r="H89" i="21"/>
  <c r="F89" i="21"/>
  <c r="D89" i="21"/>
  <c r="P88" i="21"/>
  <c r="K88" i="21"/>
  <c r="H88" i="21"/>
  <c r="F88" i="21"/>
  <c r="D88" i="21"/>
  <c r="P87" i="21"/>
  <c r="K87" i="21"/>
  <c r="H87" i="21"/>
  <c r="F87" i="21"/>
  <c r="D87" i="21"/>
  <c r="P86" i="21"/>
  <c r="K86" i="21"/>
  <c r="H86" i="21"/>
  <c r="F86" i="21"/>
  <c r="D86" i="21"/>
  <c r="P85" i="21"/>
  <c r="J85" i="21"/>
  <c r="I85" i="21"/>
  <c r="G85" i="21"/>
  <c r="H85" i="21" s="1"/>
  <c r="F85" i="21"/>
  <c r="C85" i="21"/>
  <c r="D85" i="21" s="1"/>
  <c r="P84" i="21"/>
  <c r="K84" i="21"/>
  <c r="H84" i="21"/>
  <c r="F84" i="21"/>
  <c r="D84" i="21"/>
  <c r="P83" i="21"/>
  <c r="K83" i="21"/>
  <c r="H83" i="21"/>
  <c r="F83" i="21"/>
  <c r="D83" i="21"/>
  <c r="P82" i="21"/>
  <c r="K82" i="21"/>
  <c r="H82" i="21"/>
  <c r="F82" i="21"/>
  <c r="D82" i="21"/>
  <c r="P81" i="21"/>
  <c r="K81" i="21"/>
  <c r="H81" i="21"/>
  <c r="F81" i="21"/>
  <c r="D81" i="21"/>
  <c r="K80" i="21"/>
  <c r="H80" i="21"/>
  <c r="F80" i="21"/>
  <c r="D80" i="21"/>
  <c r="P79" i="21"/>
  <c r="K79" i="21"/>
  <c r="H79" i="21"/>
  <c r="F79" i="21"/>
  <c r="D79" i="21"/>
  <c r="P78" i="21"/>
  <c r="K78" i="21"/>
  <c r="H78" i="21"/>
  <c r="F78" i="21"/>
  <c r="D78" i="21"/>
  <c r="P77" i="21"/>
  <c r="K77" i="21"/>
  <c r="H77" i="21"/>
  <c r="F77" i="21"/>
  <c r="D77" i="21"/>
  <c r="P76" i="21"/>
  <c r="K76" i="21"/>
  <c r="H76" i="21"/>
  <c r="F76" i="21"/>
  <c r="D76" i="21"/>
  <c r="P75" i="21"/>
  <c r="K75" i="21"/>
  <c r="H75" i="21"/>
  <c r="F75" i="21"/>
  <c r="D75" i="21"/>
  <c r="P74" i="21"/>
  <c r="K74" i="21"/>
  <c r="H74" i="21"/>
  <c r="F74" i="21"/>
  <c r="D74" i="21"/>
  <c r="P73" i="21"/>
  <c r="M11" i="15" s="1"/>
  <c r="K73" i="21"/>
  <c r="H73" i="21"/>
  <c r="F73" i="21"/>
  <c r="D73" i="21"/>
  <c r="P72" i="21"/>
  <c r="K72" i="21"/>
  <c r="H72" i="21"/>
  <c r="F72" i="21"/>
  <c r="D72" i="21"/>
  <c r="K71" i="21"/>
  <c r="H71" i="21"/>
  <c r="F71" i="21"/>
  <c r="D71" i="21"/>
  <c r="K70" i="21"/>
  <c r="H70" i="21"/>
  <c r="F70" i="21"/>
  <c r="D70" i="21"/>
  <c r="J69" i="21"/>
  <c r="K69" i="21" s="1"/>
  <c r="I69" i="21"/>
  <c r="G69" i="21"/>
  <c r="H69" i="21" s="1"/>
  <c r="C69" i="21"/>
  <c r="P68" i="21"/>
  <c r="K68" i="21"/>
  <c r="H68" i="21"/>
  <c r="F68" i="21"/>
  <c r="D68" i="21"/>
  <c r="P67" i="21"/>
  <c r="K67" i="21"/>
  <c r="H67" i="21"/>
  <c r="F67" i="21"/>
  <c r="D67" i="21"/>
  <c r="P66" i="21"/>
  <c r="K66" i="21"/>
  <c r="H66" i="21"/>
  <c r="F66" i="21"/>
  <c r="D66" i="21"/>
  <c r="P65" i="21"/>
  <c r="K65" i="21"/>
  <c r="H65" i="21"/>
  <c r="F65" i="21"/>
  <c r="D65" i="21"/>
  <c r="P64" i="21"/>
  <c r="K64" i="21"/>
  <c r="H64" i="21"/>
  <c r="F64" i="21"/>
  <c r="D64" i="21"/>
  <c r="P63" i="21"/>
  <c r="K63" i="21"/>
  <c r="H63" i="21"/>
  <c r="F63" i="21"/>
  <c r="D63" i="21"/>
  <c r="P62" i="21"/>
  <c r="K62" i="21"/>
  <c r="H62" i="21"/>
  <c r="F62" i="21"/>
  <c r="D62" i="21"/>
  <c r="P61" i="21"/>
  <c r="K61" i="21"/>
  <c r="H61" i="21"/>
  <c r="F61" i="21"/>
  <c r="D61" i="21"/>
  <c r="P60" i="21"/>
  <c r="K60" i="21"/>
  <c r="H60" i="21"/>
  <c r="F60" i="21"/>
  <c r="D60" i="21"/>
  <c r="P59" i="21"/>
  <c r="K59" i="21"/>
  <c r="H59" i="21"/>
  <c r="F59" i="21"/>
  <c r="D59" i="21"/>
  <c r="P58" i="21"/>
  <c r="K58" i="21"/>
  <c r="H58" i="21"/>
  <c r="F58" i="21"/>
  <c r="D58" i="21"/>
  <c r="P57" i="21"/>
  <c r="K57" i="21"/>
  <c r="H57" i="21"/>
  <c r="F57" i="21"/>
  <c r="D57" i="21"/>
  <c r="P56" i="21"/>
  <c r="K56" i="21"/>
  <c r="H56" i="21"/>
  <c r="F56" i="21"/>
  <c r="D56" i="21"/>
  <c r="P55" i="21"/>
  <c r="K55" i="21"/>
  <c r="H55" i="21"/>
  <c r="F55" i="21"/>
  <c r="D55" i="21"/>
  <c r="P54" i="21"/>
  <c r="K54" i="21"/>
  <c r="H54" i="21"/>
  <c r="F54" i="21"/>
  <c r="D54" i="21"/>
  <c r="P53" i="21"/>
  <c r="K53" i="21"/>
  <c r="H53" i="21"/>
  <c r="F53" i="21"/>
  <c r="D53" i="21"/>
  <c r="P52" i="21"/>
  <c r="K52" i="21"/>
  <c r="H52" i="21"/>
  <c r="F52" i="21"/>
  <c r="D52" i="21"/>
  <c r="P51" i="21"/>
  <c r="K51" i="21"/>
  <c r="H51" i="21"/>
  <c r="F51" i="21"/>
  <c r="D51" i="21"/>
  <c r="P50" i="21"/>
  <c r="M10" i="15" s="1"/>
  <c r="K50" i="21"/>
  <c r="H50" i="21"/>
  <c r="F50" i="21"/>
  <c r="D50" i="21"/>
  <c r="P49" i="21"/>
  <c r="K49" i="21"/>
  <c r="H49" i="21"/>
  <c r="F49" i="21"/>
  <c r="D49" i="21"/>
  <c r="P48" i="21"/>
  <c r="K48" i="21"/>
  <c r="H48" i="21"/>
  <c r="F48" i="21"/>
  <c r="D48" i="21"/>
  <c r="P47" i="21"/>
  <c r="K47" i="21"/>
  <c r="H47" i="21"/>
  <c r="F47" i="21"/>
  <c r="D47" i="21"/>
  <c r="P46" i="21"/>
  <c r="K46" i="21"/>
  <c r="H46" i="21"/>
  <c r="F46" i="21"/>
  <c r="D46" i="21"/>
  <c r="P45" i="21"/>
  <c r="K45" i="21"/>
  <c r="H45" i="21"/>
  <c r="F45" i="21"/>
  <c r="D45" i="21"/>
  <c r="P44" i="21"/>
  <c r="K44" i="21"/>
  <c r="H44" i="21"/>
  <c r="F44" i="21"/>
  <c r="D44" i="21"/>
  <c r="P43" i="21"/>
  <c r="K43" i="21"/>
  <c r="H43" i="21"/>
  <c r="F43" i="21"/>
  <c r="D43" i="21"/>
  <c r="P42" i="21"/>
  <c r="K42" i="21"/>
  <c r="H42" i="21"/>
  <c r="F42" i="21"/>
  <c r="D42" i="21"/>
  <c r="P41" i="21"/>
  <c r="K41" i="21"/>
  <c r="H41" i="21"/>
  <c r="F41" i="21"/>
  <c r="D41" i="21"/>
  <c r="P40" i="21"/>
  <c r="K40" i="21"/>
  <c r="H40" i="21"/>
  <c r="F40" i="21"/>
  <c r="D40" i="21"/>
  <c r="P39" i="21"/>
  <c r="K39" i="21"/>
  <c r="H39" i="21"/>
  <c r="F39" i="21"/>
  <c r="D39" i="21"/>
  <c r="P38" i="21"/>
  <c r="K38" i="21"/>
  <c r="H38" i="21"/>
  <c r="F38" i="21"/>
  <c r="D38" i="21"/>
  <c r="P37" i="21"/>
  <c r="K37" i="21"/>
  <c r="H37" i="21"/>
  <c r="F37" i="21"/>
  <c r="D37" i="21"/>
  <c r="P36" i="21"/>
  <c r="K36" i="21"/>
  <c r="H36" i="21"/>
  <c r="F36" i="21"/>
  <c r="D36" i="21"/>
  <c r="P35" i="21"/>
  <c r="K35" i="21"/>
  <c r="H35" i="21"/>
  <c r="F35" i="21"/>
  <c r="D35" i="21"/>
  <c r="P34" i="21"/>
  <c r="K34" i="21"/>
  <c r="H34" i="21"/>
  <c r="F34" i="21"/>
  <c r="D34" i="21"/>
  <c r="P33" i="21"/>
  <c r="K33" i="21"/>
  <c r="L33" i="21" s="1"/>
  <c r="F33" i="21"/>
  <c r="D33" i="21"/>
  <c r="P32" i="21"/>
  <c r="K32" i="21"/>
  <c r="L32" i="21" s="1"/>
  <c r="F32" i="21"/>
  <c r="D32" i="21"/>
  <c r="P31" i="21"/>
  <c r="K31" i="21"/>
  <c r="L31" i="21" s="1"/>
  <c r="F31" i="21"/>
  <c r="D31" i="21"/>
  <c r="F29" i="21"/>
  <c r="D29" i="21"/>
  <c r="P28" i="21"/>
  <c r="M26" i="15" s="1"/>
  <c r="K28" i="21"/>
  <c r="H28" i="21"/>
  <c r="F28" i="21"/>
  <c r="D28" i="21"/>
  <c r="P27" i="21"/>
  <c r="K27" i="21"/>
  <c r="H27" i="21"/>
  <c r="F27" i="21"/>
  <c r="D27" i="21"/>
  <c r="P26" i="21"/>
  <c r="K26" i="21"/>
  <c r="H26" i="21"/>
  <c r="F26" i="21"/>
  <c r="D26" i="21"/>
  <c r="P25" i="21"/>
  <c r="K25" i="21"/>
  <c r="H25" i="21"/>
  <c r="F25" i="21"/>
  <c r="D25" i="21"/>
  <c r="P24" i="21"/>
  <c r="K24" i="21"/>
  <c r="H24" i="21"/>
  <c r="F24" i="21"/>
  <c r="D24" i="21"/>
  <c r="P23" i="21"/>
  <c r="K23" i="21"/>
  <c r="H23" i="21"/>
  <c r="F23" i="21"/>
  <c r="D23" i="21"/>
  <c r="P22" i="21"/>
  <c r="K22" i="21"/>
  <c r="H22" i="21"/>
  <c r="F22" i="21"/>
  <c r="D22" i="21"/>
  <c r="P21" i="21"/>
  <c r="K21" i="21"/>
  <c r="H21" i="21"/>
  <c r="F21" i="21"/>
  <c r="D21" i="21"/>
  <c r="P20" i="21"/>
  <c r="M31" i="15" s="1"/>
  <c r="K20" i="21"/>
  <c r="H20" i="21"/>
  <c r="F20" i="21"/>
  <c r="D20" i="21"/>
  <c r="P19" i="21"/>
  <c r="M9" i="15" s="1"/>
  <c r="K19" i="21"/>
  <c r="H19" i="21"/>
  <c r="F19" i="21"/>
  <c r="D19" i="21"/>
  <c r="P18" i="21"/>
  <c r="K18" i="21"/>
  <c r="H18" i="21"/>
  <c r="F18" i="21"/>
  <c r="D18" i="21"/>
  <c r="P17" i="21"/>
  <c r="K17" i="21"/>
  <c r="H17" i="21"/>
  <c r="F17" i="21"/>
  <c r="D17" i="21"/>
  <c r="P16" i="21"/>
  <c r="K16" i="21"/>
  <c r="H16" i="21"/>
  <c r="F16" i="21"/>
  <c r="D16" i="21"/>
  <c r="P15" i="21"/>
  <c r="K15" i="21"/>
  <c r="H15" i="21"/>
  <c r="F15" i="21"/>
  <c r="D15" i="21"/>
  <c r="P14" i="21"/>
  <c r="M49" i="15" s="1"/>
  <c r="K14" i="21"/>
  <c r="H14" i="21"/>
  <c r="F14" i="21"/>
  <c r="D14" i="21"/>
  <c r="P13" i="21"/>
  <c r="K13" i="21"/>
  <c r="H13" i="21"/>
  <c r="F13" i="21"/>
  <c r="D13" i="21"/>
  <c r="P12" i="21"/>
  <c r="M8" i="15" s="1"/>
  <c r="H12" i="21"/>
  <c r="F12" i="21"/>
  <c r="D12" i="21"/>
  <c r="P11" i="21"/>
  <c r="K11" i="21"/>
  <c r="H11" i="21"/>
  <c r="F11" i="21"/>
  <c r="D11" i="21"/>
  <c r="K10" i="21"/>
  <c r="M21" i="15" l="1"/>
  <c r="M22" i="15"/>
  <c r="M40" i="15"/>
  <c r="AL11" i="28"/>
  <c r="M47" i="15"/>
  <c r="M20" i="15"/>
  <c r="M33" i="15"/>
  <c r="M54" i="15"/>
  <c r="M38" i="15"/>
  <c r="M60" i="15"/>
  <c r="M17" i="15"/>
  <c r="M18" i="15"/>
  <c r="M62" i="15"/>
  <c r="M44" i="15"/>
  <c r="M25" i="15"/>
  <c r="M41" i="15"/>
  <c r="M32" i="21"/>
  <c r="M33" i="21"/>
  <c r="M30" i="21"/>
  <c r="M31" i="21"/>
  <c r="L30" i="21"/>
  <c r="N30" i="21" s="1"/>
  <c r="Q30" i="21" s="1"/>
  <c r="M29" i="21"/>
  <c r="L29" i="21"/>
  <c r="N29" i="21" s="1"/>
  <c r="Q29" i="21" s="1"/>
  <c r="K85" i="21"/>
  <c r="L85" i="21" s="1"/>
  <c r="N85" i="21" s="1"/>
  <c r="M90" i="21"/>
  <c r="K12" i="21"/>
  <c r="K179" i="21" s="1"/>
  <c r="L56" i="21"/>
  <c r="N56" i="21" s="1"/>
  <c r="Q56" i="21" s="1"/>
  <c r="U56" i="21" s="1"/>
  <c r="M68" i="21"/>
  <c r="L71" i="21"/>
  <c r="M15" i="21"/>
  <c r="L22" i="21"/>
  <c r="N22" i="21" s="1"/>
  <c r="L15" i="21"/>
  <c r="N15" i="21" s="1"/>
  <c r="Q15" i="21" s="1"/>
  <c r="L13" i="21"/>
  <c r="N13" i="21" s="1"/>
  <c r="Q13" i="21" s="1"/>
  <c r="U13" i="21" s="1"/>
  <c r="M64" i="21"/>
  <c r="M25" i="21"/>
  <c r="L17" i="21"/>
  <c r="N17" i="21" s="1"/>
  <c r="Q17" i="21" s="1"/>
  <c r="L18" i="21"/>
  <c r="N18" i="21" s="1"/>
  <c r="Q18" i="21" s="1"/>
  <c r="M23" i="21"/>
  <c r="L48" i="21"/>
  <c r="N48" i="21" s="1"/>
  <c r="Q48" i="21" s="1"/>
  <c r="U48" i="21" s="1"/>
  <c r="L14" i="21"/>
  <c r="N14" i="21" s="1"/>
  <c r="L20" i="21"/>
  <c r="N20" i="21" s="1"/>
  <c r="L19" i="21"/>
  <c r="M26" i="21"/>
  <c r="L92" i="21"/>
  <c r="N92" i="21" s="1"/>
  <c r="N71" i="21"/>
  <c r="Q71" i="21" s="1"/>
  <c r="M17" i="21"/>
  <c r="H178" i="21"/>
  <c r="H180" i="21"/>
  <c r="H177" i="21"/>
  <c r="H179" i="21"/>
  <c r="H176" i="21"/>
  <c r="N19" i="21"/>
  <c r="L23" i="21"/>
  <c r="N23" i="21" s="1"/>
  <c r="Q23" i="21" s="1"/>
  <c r="L34" i="21"/>
  <c r="N34" i="21" s="1"/>
  <c r="M35" i="21"/>
  <c r="L42" i="21"/>
  <c r="N42" i="21" s="1"/>
  <c r="M43" i="21"/>
  <c r="L63" i="21"/>
  <c r="N63" i="21" s="1"/>
  <c r="Q63" i="21" s="1"/>
  <c r="M74" i="21"/>
  <c r="L123" i="21"/>
  <c r="N123" i="21" s="1"/>
  <c r="Q123" i="21" s="1"/>
  <c r="M34" i="21"/>
  <c r="M42" i="21"/>
  <c r="M51" i="21"/>
  <c r="M59" i="21"/>
  <c r="L77" i="21"/>
  <c r="N77" i="21" s="1"/>
  <c r="L80" i="21"/>
  <c r="N80" i="21" s="1"/>
  <c r="Q80" i="21" s="1"/>
  <c r="M83" i="21"/>
  <c r="L100" i="21"/>
  <c r="N100" i="21" s="1"/>
  <c r="L46" i="21"/>
  <c r="N46" i="21" s="1"/>
  <c r="Q46" i="21" s="1"/>
  <c r="L50" i="21"/>
  <c r="N50" i="21" s="1"/>
  <c r="L54" i="21"/>
  <c r="N54" i="21" s="1"/>
  <c r="Q54" i="21" s="1"/>
  <c r="L58" i="21"/>
  <c r="N58" i="21" s="1"/>
  <c r="L62" i="21"/>
  <c r="N62" i="21" s="1"/>
  <c r="E180" i="21"/>
  <c r="E179" i="21"/>
  <c r="E178" i="21"/>
  <c r="E176" i="21"/>
  <c r="E177" i="21"/>
  <c r="P69" i="21"/>
  <c r="P178" i="21" s="1"/>
  <c r="F69" i="21"/>
  <c r="F180" i="21" s="1"/>
  <c r="L94" i="21"/>
  <c r="N94" i="21" s="1"/>
  <c r="Q94" i="21" s="1"/>
  <c r="M66" i="21"/>
  <c r="L70" i="21"/>
  <c r="N70" i="21" s="1"/>
  <c r="L76" i="21"/>
  <c r="N76" i="21" s="1"/>
  <c r="Q76" i="21" s="1"/>
  <c r="L82" i="21"/>
  <c r="N82" i="21" s="1"/>
  <c r="Q82" i="21" s="1"/>
  <c r="L11" i="21"/>
  <c r="N11" i="21" s="1"/>
  <c r="M11" i="21"/>
  <c r="M18" i="21"/>
  <c r="N31" i="21"/>
  <c r="Q31" i="21" s="1"/>
  <c r="N32" i="21"/>
  <c r="Q32" i="21" s="1"/>
  <c r="L38" i="21"/>
  <c r="N38" i="21" s="1"/>
  <c r="L39" i="21"/>
  <c r="N39" i="21" s="1"/>
  <c r="Q39" i="21" s="1"/>
  <c r="L40" i="21"/>
  <c r="N40" i="21" s="1"/>
  <c r="Q40" i="21" s="1"/>
  <c r="L45" i="21"/>
  <c r="N45" i="21" s="1"/>
  <c r="Q45" i="21" s="1"/>
  <c r="L53" i="21"/>
  <c r="N53" i="21" s="1"/>
  <c r="Q53" i="21" s="1"/>
  <c r="L61" i="21"/>
  <c r="N61" i="21" s="1"/>
  <c r="L72" i="21"/>
  <c r="N72" i="21" s="1"/>
  <c r="L79" i="21"/>
  <c r="N79" i="21" s="1"/>
  <c r="Q79" i="21" s="1"/>
  <c r="L86" i="21"/>
  <c r="N86" i="21" s="1"/>
  <c r="L93" i="21"/>
  <c r="N93" i="21" s="1"/>
  <c r="L124" i="21"/>
  <c r="N124" i="21" s="1"/>
  <c r="Q124" i="21" s="1"/>
  <c r="M171" i="21"/>
  <c r="M166" i="21"/>
  <c r="L163" i="21"/>
  <c r="N163" i="21" s="1"/>
  <c r="Q163" i="21" s="1"/>
  <c r="M158" i="21"/>
  <c r="L155" i="21"/>
  <c r="N155" i="21" s="1"/>
  <c r="Q155" i="21" s="1"/>
  <c r="M150" i="21"/>
  <c r="L147" i="21"/>
  <c r="L141" i="21"/>
  <c r="N141" i="21" s="1"/>
  <c r="Q141" i="21" s="1"/>
  <c r="M136" i="21"/>
  <c r="M174" i="21"/>
  <c r="M161" i="21"/>
  <c r="M153" i="21"/>
  <c r="M145" i="21"/>
  <c r="M139" i="21"/>
  <c r="M131" i="21"/>
  <c r="M126" i="21"/>
  <c r="M116" i="21"/>
  <c r="M172" i="21"/>
  <c r="M167" i="21"/>
  <c r="M159" i="21"/>
  <c r="M151" i="21"/>
  <c r="M137" i="21"/>
  <c r="M129" i="21"/>
  <c r="M122" i="21"/>
  <c r="M114" i="21"/>
  <c r="M175" i="21"/>
  <c r="L172" i="21"/>
  <c r="N172" i="21" s="1"/>
  <c r="Q172" i="21" s="1"/>
  <c r="L167" i="21"/>
  <c r="N167" i="21" s="1"/>
  <c r="Q167" i="21" s="1"/>
  <c r="M162" i="21"/>
  <c r="M154" i="21"/>
  <c r="M146" i="21"/>
  <c r="M140" i="21"/>
  <c r="M170" i="21"/>
  <c r="M165" i="21"/>
  <c r="M173" i="21"/>
  <c r="M168" i="21"/>
  <c r="M160" i="21"/>
  <c r="M152" i="21"/>
  <c r="M138" i="21"/>
  <c r="M130" i="21"/>
  <c r="M125" i="21"/>
  <c r="M123" i="21"/>
  <c r="M115" i="21"/>
  <c r="M164" i="21"/>
  <c r="L160" i="21"/>
  <c r="N160" i="21" s="1"/>
  <c r="Q160" i="21" s="1"/>
  <c r="M157" i="21"/>
  <c r="M156" i="21"/>
  <c r="L152" i="21"/>
  <c r="N152" i="21" s="1"/>
  <c r="Q152" i="21" s="1"/>
  <c r="M149" i="21"/>
  <c r="M148" i="21"/>
  <c r="L131" i="21"/>
  <c r="N131" i="21" s="1"/>
  <c r="Q131" i="21" s="1"/>
  <c r="L118" i="21"/>
  <c r="N118" i="21" s="1"/>
  <c r="L110" i="21"/>
  <c r="N110" i="21" s="1"/>
  <c r="Q110" i="21" s="1"/>
  <c r="M106" i="21"/>
  <c r="M101" i="21"/>
  <c r="M93" i="21"/>
  <c r="M65" i="21"/>
  <c r="L174" i="21"/>
  <c r="N174" i="21" s="1"/>
  <c r="Q174" i="21" s="1"/>
  <c r="L173" i="21"/>
  <c r="N173" i="21" s="1"/>
  <c r="M127" i="21"/>
  <c r="M117" i="21"/>
  <c r="M109" i="21"/>
  <c r="M104" i="21"/>
  <c r="M96" i="21"/>
  <c r="M88" i="21"/>
  <c r="M81" i="21"/>
  <c r="M76" i="21"/>
  <c r="M135" i="21"/>
  <c r="L126" i="21"/>
  <c r="N126" i="21" s="1"/>
  <c r="Q126" i="21" s="1"/>
  <c r="L117" i="21"/>
  <c r="N117" i="21" s="1"/>
  <c r="Q117" i="21" s="1"/>
  <c r="L109" i="21"/>
  <c r="N109" i="21" s="1"/>
  <c r="Q109" i="21" s="1"/>
  <c r="L104" i="21"/>
  <c r="N104" i="21" s="1"/>
  <c r="M99" i="21"/>
  <c r="L96" i="21"/>
  <c r="M91" i="21"/>
  <c r="M134" i="21"/>
  <c r="M133" i="21"/>
  <c r="M121" i="21"/>
  <c r="M113" i="21"/>
  <c r="M108" i="21"/>
  <c r="M102" i="21"/>
  <c r="M94" i="21"/>
  <c r="M86" i="21"/>
  <c r="L168" i="21"/>
  <c r="N168" i="21" s="1"/>
  <c r="L133" i="21"/>
  <c r="N133" i="21" s="1"/>
  <c r="L125" i="21"/>
  <c r="N125" i="21" s="1"/>
  <c r="L116" i="21"/>
  <c r="N116" i="21" s="1"/>
  <c r="Q116" i="21" s="1"/>
  <c r="M105" i="21"/>
  <c r="L102" i="21"/>
  <c r="N102" i="21" s="1"/>
  <c r="M97" i="21"/>
  <c r="M169" i="21"/>
  <c r="M141" i="21"/>
  <c r="L140" i="21"/>
  <c r="N140" i="21" s="1"/>
  <c r="Q140" i="21" s="1"/>
  <c r="L139" i="21"/>
  <c r="N139" i="21" s="1"/>
  <c r="Q139" i="21" s="1"/>
  <c r="M132" i="21"/>
  <c r="M124" i="21"/>
  <c r="M120" i="21"/>
  <c r="M112" i="21"/>
  <c r="M107" i="21"/>
  <c r="M100" i="21"/>
  <c r="M92" i="21"/>
  <c r="M143" i="21"/>
  <c r="M142" i="21"/>
  <c r="L138" i="21"/>
  <c r="N138" i="21" s="1"/>
  <c r="Q138" i="21" s="1"/>
  <c r="L132" i="21"/>
  <c r="N132" i="21" s="1"/>
  <c r="L161" i="21"/>
  <c r="N161" i="21" s="1"/>
  <c r="Q161" i="21" s="1"/>
  <c r="M155" i="21"/>
  <c r="L145" i="21"/>
  <c r="N145" i="21" s="1"/>
  <c r="Q145" i="21" s="1"/>
  <c r="M128" i="21"/>
  <c r="L89" i="21"/>
  <c r="N89" i="21" s="1"/>
  <c r="Q89" i="21" s="1"/>
  <c r="M82" i="21"/>
  <c r="M79" i="21"/>
  <c r="L74" i="21"/>
  <c r="N74" i="21" s="1"/>
  <c r="Q74" i="21" s="1"/>
  <c r="M69" i="21"/>
  <c r="L68" i="21"/>
  <c r="N68" i="21" s="1"/>
  <c r="Q68" i="21" s="1"/>
  <c r="L66" i="21"/>
  <c r="N66" i="21" s="1"/>
  <c r="Q66" i="21" s="1"/>
  <c r="L64" i="21"/>
  <c r="N64" i="21" s="1"/>
  <c r="Q64" i="21" s="1"/>
  <c r="M62" i="21"/>
  <c r="L59" i="21"/>
  <c r="N59" i="21" s="1"/>
  <c r="Q59" i="21" s="1"/>
  <c r="M54" i="21"/>
  <c r="L51" i="21"/>
  <c r="N51" i="21" s="1"/>
  <c r="Q51" i="21" s="1"/>
  <c r="M46" i="21"/>
  <c r="L43" i="21"/>
  <c r="N43" i="21" s="1"/>
  <c r="Q43" i="21" s="1"/>
  <c r="M38" i="21"/>
  <c r="L35" i="21"/>
  <c r="N35" i="21" s="1"/>
  <c r="Q35" i="21" s="1"/>
  <c r="L26" i="21"/>
  <c r="N26" i="21" s="1"/>
  <c r="Q26" i="21" s="1"/>
  <c r="M21" i="21"/>
  <c r="M13" i="21"/>
  <c r="M118" i="21"/>
  <c r="M98" i="21"/>
  <c r="M57" i="21"/>
  <c r="M49" i="21"/>
  <c r="M41" i="21"/>
  <c r="M24" i="21"/>
  <c r="M16" i="21"/>
  <c r="L162" i="21"/>
  <c r="N162" i="21" s="1"/>
  <c r="Q162" i="21" s="1"/>
  <c r="L146" i="21"/>
  <c r="N146" i="21" s="1"/>
  <c r="M110" i="21"/>
  <c r="L88" i="21"/>
  <c r="N88" i="21" s="1"/>
  <c r="M60" i="21"/>
  <c r="L57" i="21"/>
  <c r="N57" i="21" s="1"/>
  <c r="Q57" i="21" s="1"/>
  <c r="M52" i="21"/>
  <c r="L49" i="21"/>
  <c r="N49" i="21" s="1"/>
  <c r="Q49" i="21" s="1"/>
  <c r="M44" i="21"/>
  <c r="L41" i="21"/>
  <c r="N41" i="21" s="1"/>
  <c r="M36" i="21"/>
  <c r="N33" i="21"/>
  <c r="Q33" i="21" s="1"/>
  <c r="M27" i="21"/>
  <c r="L24" i="21"/>
  <c r="N24" i="21" s="1"/>
  <c r="M19" i="21"/>
  <c r="L16" i="21"/>
  <c r="N16" i="21" s="1"/>
  <c r="Q16" i="21" s="1"/>
  <c r="M119" i="21"/>
  <c r="M87" i="21"/>
  <c r="L81" i="21"/>
  <c r="N81" i="21" s="1"/>
  <c r="Q81" i="21" s="1"/>
  <c r="M78" i="21"/>
  <c r="M75" i="21"/>
  <c r="M73" i="21"/>
  <c r="M67" i="21"/>
  <c r="M55" i="21"/>
  <c r="M47" i="21"/>
  <c r="M39" i="21"/>
  <c r="M22" i="21"/>
  <c r="M163" i="21"/>
  <c r="L153" i="21"/>
  <c r="N153" i="21" s="1"/>
  <c r="Q153" i="21" s="1"/>
  <c r="M147" i="21"/>
  <c r="L115" i="21"/>
  <c r="N115" i="21" s="1"/>
  <c r="Q115" i="21" s="1"/>
  <c r="M111" i="21"/>
  <c r="L87" i="21"/>
  <c r="N87" i="21" s="1"/>
  <c r="Q87" i="21" s="1"/>
  <c r="M80" i="21"/>
  <c r="L75" i="21"/>
  <c r="N75" i="21" s="1"/>
  <c r="M70" i="21"/>
  <c r="L67" i="21"/>
  <c r="N67" i="21" s="1"/>
  <c r="Q67" i="21" s="1"/>
  <c r="L65" i="21"/>
  <c r="N65" i="21" s="1"/>
  <c r="Q65" i="21" s="1"/>
  <c r="M63" i="21"/>
  <c r="M58" i="21"/>
  <c r="L55" i="21"/>
  <c r="N55" i="21" s="1"/>
  <c r="Q55" i="21" s="1"/>
  <c r="M50" i="21"/>
  <c r="L47" i="21"/>
  <c r="N47" i="21" s="1"/>
  <c r="M103" i="21"/>
  <c r="M95" i="21"/>
  <c r="M77" i="21"/>
  <c r="M71" i="21"/>
  <c r="M61" i="21"/>
  <c r="M53" i="21"/>
  <c r="M45" i="21"/>
  <c r="M37" i="21"/>
  <c r="M28" i="21"/>
  <c r="L154" i="21"/>
  <c r="N154" i="21" s="1"/>
  <c r="Q154" i="21" s="1"/>
  <c r="L103" i="21"/>
  <c r="N103" i="21" s="1"/>
  <c r="Q103" i="21" s="1"/>
  <c r="L95" i="21"/>
  <c r="N95" i="21" s="1"/>
  <c r="Q95" i="21" s="1"/>
  <c r="M84" i="21"/>
  <c r="M72" i="21"/>
  <c r="M56" i="21"/>
  <c r="M48" i="21"/>
  <c r="M40" i="21"/>
  <c r="M14" i="21"/>
  <c r="L28" i="21"/>
  <c r="N28" i="21" s="1"/>
  <c r="L37" i="21"/>
  <c r="N37" i="21" s="1"/>
  <c r="Q37" i="21" s="1"/>
  <c r="M20" i="21"/>
  <c r="L21" i="21"/>
  <c r="N21" i="21" s="1"/>
  <c r="Q21" i="21" s="1"/>
  <c r="L25" i="21"/>
  <c r="N25" i="21" s="1"/>
  <c r="Q25" i="21" s="1"/>
  <c r="L27" i="21"/>
  <c r="N27" i="21" s="1"/>
  <c r="Q27" i="21" s="1"/>
  <c r="L36" i="21"/>
  <c r="N36" i="21" s="1"/>
  <c r="Q36" i="21" s="1"/>
  <c r="L44" i="21"/>
  <c r="N44" i="21" s="1"/>
  <c r="Q44" i="21" s="1"/>
  <c r="L52" i="21"/>
  <c r="N52" i="21" s="1"/>
  <c r="Q52" i="21" s="1"/>
  <c r="L60" i="21"/>
  <c r="N60" i="21" s="1"/>
  <c r="Q60" i="21" s="1"/>
  <c r="L69" i="21"/>
  <c r="L84" i="21"/>
  <c r="N84" i="21" s="1"/>
  <c r="Q84" i="21" s="1"/>
  <c r="M89" i="21"/>
  <c r="L112" i="21"/>
  <c r="N112" i="21" s="1"/>
  <c r="Q112" i="21" s="1"/>
  <c r="L120" i="21"/>
  <c r="N120" i="21" s="1"/>
  <c r="G180" i="21"/>
  <c r="G179" i="21"/>
  <c r="G178" i="21"/>
  <c r="G177" i="21"/>
  <c r="G176" i="21"/>
  <c r="L111" i="21"/>
  <c r="N111" i="21" s="1"/>
  <c r="L143" i="21"/>
  <c r="N143" i="21" s="1"/>
  <c r="Q143" i="21" s="1"/>
  <c r="L73" i="21"/>
  <c r="N73" i="21" s="1"/>
  <c r="L78" i="21"/>
  <c r="N78" i="21" s="1"/>
  <c r="Q78" i="21" s="1"/>
  <c r="L101" i="21"/>
  <c r="N101" i="21" s="1"/>
  <c r="Q101" i="21" s="1"/>
  <c r="L107" i="21"/>
  <c r="N107" i="21" s="1"/>
  <c r="Q107" i="21" s="1"/>
  <c r="L119" i="21"/>
  <c r="N119" i="21" s="1"/>
  <c r="Q119" i="21" s="1"/>
  <c r="L130" i="21"/>
  <c r="N130" i="21" s="1"/>
  <c r="Q130" i="21" s="1"/>
  <c r="L137" i="21"/>
  <c r="N137" i="21" s="1"/>
  <c r="L99" i="21"/>
  <c r="N99" i="21" s="1"/>
  <c r="Q99" i="21" s="1"/>
  <c r="L114" i="21"/>
  <c r="N114" i="21" s="1"/>
  <c r="N96" i="21"/>
  <c r="Q96" i="21" s="1"/>
  <c r="L98" i="21"/>
  <c r="N98" i="21" s="1"/>
  <c r="L106" i="21"/>
  <c r="N106" i="21" s="1"/>
  <c r="Q106" i="21" s="1"/>
  <c r="L122" i="21"/>
  <c r="N122" i="21" s="1"/>
  <c r="Q122" i="21" s="1"/>
  <c r="L129" i="21"/>
  <c r="N129" i="21" s="1"/>
  <c r="Q129" i="21" s="1"/>
  <c r="L142" i="21"/>
  <c r="N142" i="21" s="1"/>
  <c r="Q142" i="21" s="1"/>
  <c r="L97" i="21"/>
  <c r="N97" i="21" s="1"/>
  <c r="L105" i="21"/>
  <c r="N105" i="21" s="1"/>
  <c r="C180" i="21"/>
  <c r="C179" i="21"/>
  <c r="C178" i="21"/>
  <c r="C177" i="21"/>
  <c r="C176" i="21"/>
  <c r="D69" i="21"/>
  <c r="L83" i="21"/>
  <c r="N83" i="21" s="1"/>
  <c r="Q83" i="21" s="1"/>
  <c r="L90" i="21"/>
  <c r="N90" i="21" s="1"/>
  <c r="Q90" i="21" s="1"/>
  <c r="L91" i="21"/>
  <c r="N91" i="21" s="1"/>
  <c r="Q91" i="21" s="1"/>
  <c r="L170" i="21"/>
  <c r="N170" i="21" s="1"/>
  <c r="Q170" i="21" s="1"/>
  <c r="L169" i="21"/>
  <c r="N169" i="21" s="1"/>
  <c r="L108" i="21"/>
  <c r="N108" i="21" s="1"/>
  <c r="Q108" i="21" s="1"/>
  <c r="L113" i="21"/>
  <c r="N113" i="21" s="1"/>
  <c r="Q113" i="21" s="1"/>
  <c r="L121" i="21"/>
  <c r="N121" i="21" s="1"/>
  <c r="Q121" i="21" s="1"/>
  <c r="L134" i="21"/>
  <c r="N134" i="21" s="1"/>
  <c r="L135" i="21"/>
  <c r="N135" i="21" s="1"/>
  <c r="Q135" i="21" s="1"/>
  <c r="N147" i="21"/>
  <c r="Q147" i="21" s="1"/>
  <c r="L166" i="21"/>
  <c r="N166" i="21" s="1"/>
  <c r="Q166" i="21" s="1"/>
  <c r="L175" i="21"/>
  <c r="N175" i="21" s="1"/>
  <c r="Q175" i="21" s="1"/>
  <c r="L127" i="21"/>
  <c r="N127" i="21" s="1"/>
  <c r="Q127" i="21" s="1"/>
  <c r="L136" i="21"/>
  <c r="N136" i="21" s="1"/>
  <c r="L165" i="21"/>
  <c r="N165" i="21" s="1"/>
  <c r="Q165" i="21" s="1"/>
  <c r="AC11" i="17" s="1"/>
  <c r="L148" i="21"/>
  <c r="N148" i="21" s="1"/>
  <c r="Q148" i="21" s="1"/>
  <c r="L149" i="21"/>
  <c r="N149" i="21" s="1"/>
  <c r="Q149" i="21" s="1"/>
  <c r="L150" i="21"/>
  <c r="N150" i="21" s="1"/>
  <c r="L151" i="21"/>
  <c r="N151" i="21" s="1"/>
  <c r="Q151" i="21" s="1"/>
  <c r="L156" i="21"/>
  <c r="N156" i="21" s="1"/>
  <c r="Q156" i="21" s="1"/>
  <c r="L157" i="21"/>
  <c r="N157" i="21" s="1"/>
  <c r="Q157" i="21" s="1"/>
  <c r="L158" i="21"/>
  <c r="N158" i="21" s="1"/>
  <c r="Q158" i="21" s="1"/>
  <c r="L159" i="21"/>
  <c r="N159" i="21" s="1"/>
  <c r="L164" i="21"/>
  <c r="N164" i="21" s="1"/>
  <c r="L128" i="21"/>
  <c r="N128" i="21" s="1"/>
  <c r="L171" i="21"/>
  <c r="N171" i="21" s="1"/>
  <c r="BM21" i="15"/>
  <c r="BE21" i="15"/>
  <c r="AX21" i="15"/>
  <c r="AR21" i="15"/>
  <c r="AJ21" i="15"/>
  <c r="AK21" i="15" s="1"/>
  <c r="Y21" i="15"/>
  <c r="BO21" i="15" s="1"/>
  <c r="T21" i="15"/>
  <c r="V21" i="15" s="1"/>
  <c r="AA50" i="15" l="1"/>
  <c r="AB50" i="15" s="1"/>
  <c r="BN21" i="15"/>
  <c r="R30" i="21"/>
  <c r="S30" i="21"/>
  <c r="T30" i="21"/>
  <c r="U30" i="21"/>
  <c r="M85" i="21"/>
  <c r="K178" i="21"/>
  <c r="L12" i="21"/>
  <c r="N12" i="21" s="1"/>
  <c r="Q12" i="21" s="1"/>
  <c r="K180" i="21"/>
  <c r="Q34" i="21"/>
  <c r="Q98" i="21"/>
  <c r="S98" i="21" s="1"/>
  <c r="Q85" i="21"/>
  <c r="AA12" i="15" s="1"/>
  <c r="Q41" i="21"/>
  <c r="Q146" i="21"/>
  <c r="T146" i="21" s="1"/>
  <c r="AB46" i="15"/>
  <c r="Q118" i="21"/>
  <c r="T118" i="21" s="1"/>
  <c r="Q72" i="21"/>
  <c r="R72" i="21" s="1"/>
  <c r="AD37" i="15"/>
  <c r="AB30" i="15"/>
  <c r="Q168" i="21"/>
  <c r="Q50" i="21"/>
  <c r="Q14" i="21"/>
  <c r="Q128" i="21"/>
  <c r="U128" i="21" s="1"/>
  <c r="AB61" i="15"/>
  <c r="Q164" i="21"/>
  <c r="Q134" i="21"/>
  <c r="Q61" i="21"/>
  <c r="T61" i="21" s="1"/>
  <c r="Q100" i="21"/>
  <c r="U100" i="21" s="1"/>
  <c r="AB14" i="15"/>
  <c r="Q19" i="21"/>
  <c r="Q150" i="21"/>
  <c r="Q28" i="21"/>
  <c r="Q102" i="21"/>
  <c r="Q22" i="21"/>
  <c r="T22" i="21" s="1"/>
  <c r="AD39" i="15"/>
  <c r="Q73" i="21"/>
  <c r="Q24" i="21"/>
  <c r="Q62" i="21"/>
  <c r="U62" i="21" s="1"/>
  <c r="AB42" i="15"/>
  <c r="Q77" i="21"/>
  <c r="T77" i="21" s="1"/>
  <c r="Q105" i="21"/>
  <c r="R105" i="21" s="1"/>
  <c r="AB34" i="15"/>
  <c r="Q136" i="21"/>
  <c r="Q97" i="21"/>
  <c r="Q120" i="21"/>
  <c r="T120" i="21" s="1"/>
  <c r="AD36" i="15"/>
  <c r="Q104" i="21"/>
  <c r="Q92" i="21"/>
  <c r="S92" i="21" s="1"/>
  <c r="AB57" i="15"/>
  <c r="Q137" i="21"/>
  <c r="Q111" i="21"/>
  <c r="T111" i="21" s="1"/>
  <c r="Q125" i="21"/>
  <c r="R125" i="21" s="1"/>
  <c r="Q93" i="21"/>
  <c r="U93" i="21" s="1"/>
  <c r="AD65" i="15"/>
  <c r="Q58" i="21"/>
  <c r="Q42" i="21"/>
  <c r="Q171" i="21"/>
  <c r="Q159" i="21"/>
  <c r="S159" i="21" s="1"/>
  <c r="AD52" i="15"/>
  <c r="Q132" i="21"/>
  <c r="Q114" i="21"/>
  <c r="Q173" i="21"/>
  <c r="Q169" i="21"/>
  <c r="Q47" i="21"/>
  <c r="U47" i="21" s="1"/>
  <c r="AD64" i="15"/>
  <c r="Q75" i="21"/>
  <c r="R75" i="21" s="1"/>
  <c r="AB48" i="15"/>
  <c r="Q88" i="21"/>
  <c r="Q133" i="21"/>
  <c r="R133" i="21" s="1"/>
  <c r="AB32" i="15"/>
  <c r="Q86" i="21"/>
  <c r="U86" i="21" s="1"/>
  <c r="Q38" i="21"/>
  <c r="Q20" i="21"/>
  <c r="M12" i="21"/>
  <c r="M179" i="21" s="1"/>
  <c r="K176" i="21"/>
  <c r="K177" i="21"/>
  <c r="F176" i="21"/>
  <c r="T13" i="21"/>
  <c r="R13" i="21"/>
  <c r="S71" i="21"/>
  <c r="T71" i="21"/>
  <c r="R71" i="21"/>
  <c r="S13" i="21"/>
  <c r="AD14" i="15"/>
  <c r="P176" i="21"/>
  <c r="P177" i="21"/>
  <c r="N69" i="21"/>
  <c r="Q69" i="21" s="1"/>
  <c r="R69" i="21" s="1"/>
  <c r="F179" i="21"/>
  <c r="O184" i="21"/>
  <c r="P180" i="21"/>
  <c r="P179" i="21"/>
  <c r="F178" i="21"/>
  <c r="T56" i="21"/>
  <c r="U18" i="21"/>
  <c r="T18" i="21"/>
  <c r="R18" i="21"/>
  <c r="S18" i="21"/>
  <c r="F177" i="21"/>
  <c r="R48" i="21"/>
  <c r="S48" i="21"/>
  <c r="R56" i="21"/>
  <c r="T48" i="21"/>
  <c r="S56" i="21"/>
  <c r="S64" i="21"/>
  <c r="U64" i="21"/>
  <c r="T64" i="21"/>
  <c r="R64" i="21"/>
  <c r="R140" i="21"/>
  <c r="T140" i="21"/>
  <c r="U140" i="21"/>
  <c r="S140" i="21"/>
  <c r="U126" i="21"/>
  <c r="R126" i="21"/>
  <c r="T126" i="21"/>
  <c r="S126" i="21"/>
  <c r="U142" i="21"/>
  <c r="T142" i="21"/>
  <c r="R142" i="21"/>
  <c r="S142" i="21"/>
  <c r="U33" i="21"/>
  <c r="T33" i="21"/>
  <c r="R33" i="21"/>
  <c r="S33" i="21"/>
  <c r="U35" i="21"/>
  <c r="T35" i="21"/>
  <c r="S35" i="21"/>
  <c r="R35" i="21"/>
  <c r="S149" i="21"/>
  <c r="R149" i="21"/>
  <c r="U149" i="21"/>
  <c r="T149" i="21"/>
  <c r="S170" i="21"/>
  <c r="R170" i="21"/>
  <c r="U170" i="21"/>
  <c r="T170" i="21"/>
  <c r="U148" i="21"/>
  <c r="T148" i="21"/>
  <c r="R148" i="21"/>
  <c r="S148" i="21"/>
  <c r="U113" i="21"/>
  <c r="S113" i="21"/>
  <c r="R113" i="21"/>
  <c r="T113" i="21"/>
  <c r="U119" i="21"/>
  <c r="R119" i="21"/>
  <c r="T119" i="21"/>
  <c r="S119" i="21"/>
  <c r="U36" i="21"/>
  <c r="S36" i="21"/>
  <c r="R36" i="21"/>
  <c r="T36" i="21"/>
  <c r="T87" i="21"/>
  <c r="S87" i="21"/>
  <c r="R87" i="21"/>
  <c r="U87" i="21"/>
  <c r="Q11" i="21"/>
  <c r="U52" i="21"/>
  <c r="T52" i="21"/>
  <c r="S52" i="21"/>
  <c r="R52" i="21"/>
  <c r="U27" i="21"/>
  <c r="S27" i="21"/>
  <c r="R27" i="21"/>
  <c r="T27" i="21"/>
  <c r="U172" i="21"/>
  <c r="T172" i="21"/>
  <c r="S172" i="21"/>
  <c r="R172" i="21"/>
  <c r="U158" i="21"/>
  <c r="S158" i="21"/>
  <c r="R158" i="21"/>
  <c r="T158" i="21"/>
  <c r="R25" i="21"/>
  <c r="U25" i="21"/>
  <c r="T25" i="21"/>
  <c r="S25" i="21"/>
  <c r="U16" i="21"/>
  <c r="T16" i="21"/>
  <c r="S16" i="21"/>
  <c r="R16" i="21"/>
  <c r="U49" i="21"/>
  <c r="T49" i="21"/>
  <c r="S49" i="21"/>
  <c r="R49" i="21"/>
  <c r="U51" i="21"/>
  <c r="T51" i="21"/>
  <c r="S51" i="21"/>
  <c r="R51" i="21"/>
  <c r="T74" i="21"/>
  <c r="S74" i="21"/>
  <c r="R74" i="21"/>
  <c r="U121" i="21"/>
  <c r="S121" i="21"/>
  <c r="T121" i="21"/>
  <c r="R121" i="21"/>
  <c r="R107" i="21"/>
  <c r="U107" i="21"/>
  <c r="T107" i="21"/>
  <c r="S107" i="21"/>
  <c r="S165" i="21"/>
  <c r="R165" i="21"/>
  <c r="U165" i="21"/>
  <c r="T165" i="21"/>
  <c r="U99" i="21"/>
  <c r="T99" i="21"/>
  <c r="S99" i="21"/>
  <c r="R99" i="21"/>
  <c r="R65" i="21"/>
  <c r="U65" i="21"/>
  <c r="T65" i="21"/>
  <c r="S65" i="21"/>
  <c r="U29" i="21"/>
  <c r="T29" i="21"/>
  <c r="S29" i="21"/>
  <c r="R29" i="21"/>
  <c r="S157" i="21"/>
  <c r="R157" i="21"/>
  <c r="U157" i="21"/>
  <c r="T157" i="21"/>
  <c r="U156" i="21"/>
  <c r="T156" i="21"/>
  <c r="R156" i="21"/>
  <c r="S156" i="21"/>
  <c r="R175" i="21"/>
  <c r="U175" i="21"/>
  <c r="T175" i="21"/>
  <c r="S175" i="21"/>
  <c r="S135" i="21"/>
  <c r="R135" i="21"/>
  <c r="U135" i="21"/>
  <c r="T135" i="21"/>
  <c r="U60" i="21"/>
  <c r="T60" i="21"/>
  <c r="S60" i="21"/>
  <c r="R60" i="21"/>
  <c r="R154" i="21"/>
  <c r="T154" i="21"/>
  <c r="U154" i="21"/>
  <c r="S154" i="21"/>
  <c r="U57" i="21"/>
  <c r="T57" i="21"/>
  <c r="S57" i="21"/>
  <c r="R57" i="21"/>
  <c r="U26" i="21"/>
  <c r="T26" i="21"/>
  <c r="S26" i="21"/>
  <c r="R26" i="21"/>
  <c r="T116" i="21"/>
  <c r="S116" i="21"/>
  <c r="R116" i="21"/>
  <c r="U116" i="21"/>
  <c r="T145" i="21"/>
  <c r="S145" i="21"/>
  <c r="U145" i="21"/>
  <c r="R145" i="21"/>
  <c r="U83" i="21"/>
  <c r="T83" i="21"/>
  <c r="R83" i="21"/>
  <c r="S83" i="21"/>
  <c r="T103" i="21"/>
  <c r="S103" i="21"/>
  <c r="R103" i="21"/>
  <c r="U103" i="21"/>
  <c r="U151" i="21"/>
  <c r="S151" i="21"/>
  <c r="T151" i="21"/>
  <c r="R151" i="21"/>
  <c r="U76" i="21"/>
  <c r="T76" i="21"/>
  <c r="S76" i="21"/>
  <c r="R76" i="21"/>
  <c r="S45" i="21"/>
  <c r="R45" i="21"/>
  <c r="U45" i="21"/>
  <c r="T45" i="21"/>
  <c r="T80" i="21"/>
  <c r="S80" i="21"/>
  <c r="U80" i="21"/>
  <c r="R80" i="21"/>
  <c r="T95" i="21"/>
  <c r="S95" i="21"/>
  <c r="R95" i="21"/>
  <c r="U95" i="21"/>
  <c r="S122" i="21"/>
  <c r="U122" i="21"/>
  <c r="T122" i="21"/>
  <c r="R122" i="21"/>
  <c r="U21" i="21"/>
  <c r="T21" i="21"/>
  <c r="S21" i="21"/>
  <c r="R21" i="21"/>
  <c r="U66" i="21"/>
  <c r="T66" i="21"/>
  <c r="S66" i="21"/>
  <c r="R66" i="21"/>
  <c r="T160" i="21"/>
  <c r="S160" i="21"/>
  <c r="U160" i="21"/>
  <c r="R160" i="21"/>
  <c r="T40" i="21"/>
  <c r="S40" i="21"/>
  <c r="R40" i="21"/>
  <c r="U40" i="21"/>
  <c r="T15" i="21"/>
  <c r="S15" i="21"/>
  <c r="U15" i="21"/>
  <c r="R15" i="21"/>
  <c r="T123" i="21"/>
  <c r="R123" i="21"/>
  <c r="U123" i="21"/>
  <c r="S123" i="21"/>
  <c r="T23" i="21"/>
  <c r="S23" i="21"/>
  <c r="R23" i="21"/>
  <c r="U23" i="21"/>
  <c r="U96" i="21"/>
  <c r="T96" i="21"/>
  <c r="S96" i="21"/>
  <c r="R96" i="21"/>
  <c r="R82" i="21"/>
  <c r="U82" i="21"/>
  <c r="T82" i="21"/>
  <c r="S82" i="21"/>
  <c r="U91" i="21"/>
  <c r="S91" i="21"/>
  <c r="T91" i="21"/>
  <c r="R91" i="21"/>
  <c r="R127" i="21"/>
  <c r="U127" i="21"/>
  <c r="T127" i="21"/>
  <c r="S127" i="21"/>
  <c r="U101" i="21"/>
  <c r="T101" i="21"/>
  <c r="S101" i="21"/>
  <c r="R101" i="21"/>
  <c r="U55" i="21"/>
  <c r="T55" i="21"/>
  <c r="S55" i="21"/>
  <c r="R55" i="21"/>
  <c r="U59" i="21"/>
  <c r="T59" i="21"/>
  <c r="S59" i="21"/>
  <c r="R59" i="21"/>
  <c r="T139" i="21"/>
  <c r="S139" i="21"/>
  <c r="U139" i="21"/>
  <c r="R139" i="21"/>
  <c r="R162" i="21"/>
  <c r="T162" i="21"/>
  <c r="U162" i="21"/>
  <c r="S162" i="21"/>
  <c r="R112" i="21"/>
  <c r="U112" i="21"/>
  <c r="T112" i="21"/>
  <c r="S112" i="21"/>
  <c r="U167" i="21"/>
  <c r="T167" i="21"/>
  <c r="S167" i="21"/>
  <c r="R167" i="21"/>
  <c r="D177" i="21"/>
  <c r="T94" i="21"/>
  <c r="U94" i="21"/>
  <c r="S94" i="21"/>
  <c r="R94" i="21"/>
  <c r="T131" i="21"/>
  <c r="U131" i="21"/>
  <c r="S131" i="21"/>
  <c r="R131" i="21"/>
  <c r="R17" i="21"/>
  <c r="T17" i="21"/>
  <c r="S17" i="21"/>
  <c r="U17" i="21"/>
  <c r="T174" i="21"/>
  <c r="S174" i="21"/>
  <c r="R174" i="21"/>
  <c r="U174" i="21"/>
  <c r="T117" i="21"/>
  <c r="U117" i="21"/>
  <c r="S117" i="21"/>
  <c r="R117" i="21"/>
  <c r="U43" i="21"/>
  <c r="T43" i="21"/>
  <c r="S43" i="21"/>
  <c r="R43" i="21"/>
  <c r="U44" i="21"/>
  <c r="T44" i="21"/>
  <c r="S44" i="21"/>
  <c r="R44" i="21"/>
  <c r="U46" i="21"/>
  <c r="T46" i="21"/>
  <c r="S46" i="21"/>
  <c r="R46" i="21"/>
  <c r="S129" i="21"/>
  <c r="T129" i="21"/>
  <c r="R129" i="21"/>
  <c r="U129" i="21"/>
  <c r="U155" i="21"/>
  <c r="T155" i="21"/>
  <c r="R155" i="21"/>
  <c r="S155" i="21"/>
  <c r="D178" i="21"/>
  <c r="T109" i="21"/>
  <c r="U109" i="21"/>
  <c r="R109" i="21"/>
  <c r="S109" i="21"/>
  <c r="S37" i="21"/>
  <c r="R37" i="21"/>
  <c r="U37" i="21"/>
  <c r="T37" i="21"/>
  <c r="S115" i="21"/>
  <c r="U115" i="21"/>
  <c r="T115" i="21"/>
  <c r="R115" i="21"/>
  <c r="T143" i="21"/>
  <c r="S143" i="21"/>
  <c r="U143" i="21"/>
  <c r="R143" i="21"/>
  <c r="U78" i="21"/>
  <c r="T78" i="21"/>
  <c r="S78" i="21"/>
  <c r="R78" i="21"/>
  <c r="U166" i="21"/>
  <c r="S166" i="21"/>
  <c r="R166" i="21"/>
  <c r="T166" i="21"/>
  <c r="S124" i="21"/>
  <c r="U124" i="21"/>
  <c r="T124" i="21"/>
  <c r="R124" i="21"/>
  <c r="U163" i="21"/>
  <c r="T163" i="21"/>
  <c r="R163" i="21"/>
  <c r="S163" i="21"/>
  <c r="T110" i="21"/>
  <c r="R110" i="21"/>
  <c r="U110" i="21"/>
  <c r="S110" i="21"/>
  <c r="D176" i="21"/>
  <c r="T108" i="21"/>
  <c r="S108" i="21"/>
  <c r="R108" i="21"/>
  <c r="U108" i="21"/>
  <c r="R89" i="21"/>
  <c r="U89" i="21"/>
  <c r="T89" i="21"/>
  <c r="S89" i="21"/>
  <c r="T161" i="21"/>
  <c r="S161" i="21"/>
  <c r="U161" i="21"/>
  <c r="R161" i="21"/>
  <c r="D179" i="21"/>
  <c r="U84" i="21"/>
  <c r="T84" i="21"/>
  <c r="S84" i="21"/>
  <c r="R84" i="21"/>
  <c r="U68" i="21"/>
  <c r="T68" i="21"/>
  <c r="S68" i="21"/>
  <c r="R68" i="21"/>
  <c r="R63" i="21"/>
  <c r="U63" i="21"/>
  <c r="T63" i="21"/>
  <c r="S63" i="21"/>
  <c r="T138" i="21"/>
  <c r="S138" i="21"/>
  <c r="U138" i="21"/>
  <c r="R138" i="21"/>
  <c r="T32" i="21"/>
  <c r="S32" i="21"/>
  <c r="R32" i="21"/>
  <c r="U32" i="21"/>
  <c r="U54" i="21"/>
  <c r="T54" i="21"/>
  <c r="S54" i="21"/>
  <c r="R54" i="21"/>
  <c r="T100" i="21"/>
  <c r="U141" i="21"/>
  <c r="T141" i="21"/>
  <c r="R141" i="21"/>
  <c r="S141" i="21"/>
  <c r="T67" i="21"/>
  <c r="U67" i="21"/>
  <c r="S67" i="21"/>
  <c r="R67" i="21"/>
  <c r="T81" i="21"/>
  <c r="R81" i="21"/>
  <c r="U81" i="21"/>
  <c r="S81" i="21"/>
  <c r="T31" i="21"/>
  <c r="S31" i="21"/>
  <c r="R31" i="21"/>
  <c r="U31" i="21"/>
  <c r="T153" i="21"/>
  <c r="S153" i="21"/>
  <c r="U153" i="21"/>
  <c r="R153" i="21"/>
  <c r="U147" i="21"/>
  <c r="T147" i="21"/>
  <c r="R147" i="21"/>
  <c r="S147" i="21"/>
  <c r="U106" i="21"/>
  <c r="T106" i="21"/>
  <c r="S106" i="21"/>
  <c r="R106" i="21"/>
  <c r="U90" i="21"/>
  <c r="T90" i="21"/>
  <c r="S90" i="21"/>
  <c r="R90" i="21"/>
  <c r="D180" i="21"/>
  <c r="U79" i="21"/>
  <c r="T79" i="21"/>
  <c r="S79" i="21"/>
  <c r="R79" i="21"/>
  <c r="S130" i="21"/>
  <c r="U130" i="21"/>
  <c r="T130" i="21"/>
  <c r="R130" i="21"/>
  <c r="S73" i="21"/>
  <c r="T152" i="21"/>
  <c r="S152" i="21"/>
  <c r="U152" i="21"/>
  <c r="R152" i="21"/>
  <c r="S53" i="21"/>
  <c r="R53" i="21"/>
  <c r="U53" i="21"/>
  <c r="T53" i="21"/>
  <c r="T39" i="21"/>
  <c r="S39" i="21"/>
  <c r="R39" i="21"/>
  <c r="U39" i="21"/>
  <c r="BJ21" i="15"/>
  <c r="BK21" i="15"/>
  <c r="BL21" i="15"/>
  <c r="BQ21" i="15"/>
  <c r="T168" i="21" l="1"/>
  <c r="AA20" i="15"/>
  <c r="AD20" i="15" s="1"/>
  <c r="U164" i="21"/>
  <c r="BA11" i="28"/>
  <c r="AA47" i="15"/>
  <c r="AD47" i="15" s="1"/>
  <c r="T173" i="21"/>
  <c r="AA40" i="15"/>
  <c r="AB40" i="15" s="1"/>
  <c r="AD50" i="15"/>
  <c r="R42" i="21"/>
  <c r="AA54" i="15"/>
  <c r="AD54" i="15" s="1"/>
  <c r="T34" i="21"/>
  <c r="AA33" i="15"/>
  <c r="AB33" i="15" s="1"/>
  <c r="AA60" i="15"/>
  <c r="AD60" i="15" s="1"/>
  <c r="T38" i="21"/>
  <c r="AA38" i="15"/>
  <c r="AD38" i="15" s="1"/>
  <c r="S169" i="21"/>
  <c r="AA21" i="15"/>
  <c r="AB21" i="15" s="1"/>
  <c r="AC21" i="15" s="1"/>
  <c r="U150" i="21"/>
  <c r="AA56" i="15"/>
  <c r="AD56" i="15" s="1"/>
  <c r="T137" i="21"/>
  <c r="AA19" i="15"/>
  <c r="AB19" i="15" s="1"/>
  <c r="U134" i="21"/>
  <c r="AA17" i="15"/>
  <c r="AB17" i="15" s="1"/>
  <c r="AA18" i="15"/>
  <c r="AD18" i="15" s="1"/>
  <c r="T132" i="21"/>
  <c r="AA16" i="15"/>
  <c r="AD16" i="15" s="1"/>
  <c r="T114" i="21"/>
  <c r="AA15" i="15"/>
  <c r="AD15" i="15" s="1"/>
  <c r="T104" i="21"/>
  <c r="AA55" i="15"/>
  <c r="AD55" i="15" s="1"/>
  <c r="T97" i="21"/>
  <c r="AA62" i="15"/>
  <c r="AD62" i="15" s="1"/>
  <c r="AA44" i="15"/>
  <c r="AD44" i="15" s="1"/>
  <c r="T88" i="21"/>
  <c r="AA13" i="15"/>
  <c r="AB13" i="15" s="1"/>
  <c r="T73" i="21"/>
  <c r="AA11" i="15"/>
  <c r="AD11" i="15" s="1"/>
  <c r="U50" i="21"/>
  <c r="AA10" i="15"/>
  <c r="AB10" i="15" s="1"/>
  <c r="S24" i="21"/>
  <c r="AA25" i="15"/>
  <c r="AB25" i="15" s="1"/>
  <c r="AA41" i="15"/>
  <c r="AD41" i="15" s="1"/>
  <c r="R20" i="21"/>
  <c r="AA31" i="15"/>
  <c r="AB31" i="15" s="1"/>
  <c r="AC31" i="15" s="1"/>
  <c r="T19" i="21"/>
  <c r="AA9" i="15"/>
  <c r="AB9" i="15" s="1"/>
  <c r="AC9" i="15" s="1"/>
  <c r="S136" i="21"/>
  <c r="AA28" i="15"/>
  <c r="AB28" i="15" s="1"/>
  <c r="T171" i="21"/>
  <c r="AA22" i="15"/>
  <c r="AB22" i="15" s="1"/>
  <c r="R118" i="21"/>
  <c r="AA27" i="15"/>
  <c r="AD27" i="15" s="1"/>
  <c r="R164" i="21"/>
  <c r="R136" i="21"/>
  <c r="T136" i="21"/>
  <c r="S164" i="21"/>
  <c r="T164" i="21"/>
  <c r="T169" i="21"/>
  <c r="U169" i="21"/>
  <c r="U159" i="21"/>
  <c r="U133" i="21"/>
  <c r="R102" i="21"/>
  <c r="R100" i="21"/>
  <c r="S100" i="21"/>
  <c r="T98" i="21"/>
  <c r="U98" i="21"/>
  <c r="R98" i="21"/>
  <c r="R173" i="21"/>
  <c r="R171" i="21"/>
  <c r="S168" i="21"/>
  <c r="R168" i="21"/>
  <c r="R146" i="21"/>
  <c r="AD46" i="15"/>
  <c r="U173" i="21"/>
  <c r="S173" i="21"/>
  <c r="AD34" i="15"/>
  <c r="L176" i="21"/>
  <c r="T14" i="21"/>
  <c r="AA49" i="15"/>
  <c r="AD49" i="15" s="1"/>
  <c r="AE49" i="15" s="1"/>
  <c r="L177" i="21"/>
  <c r="S20" i="21"/>
  <c r="L178" i="21"/>
  <c r="S171" i="21"/>
  <c r="U171" i="21"/>
  <c r="L179" i="21"/>
  <c r="AD61" i="15"/>
  <c r="U12" i="21"/>
  <c r="AA8" i="15"/>
  <c r="L180" i="21"/>
  <c r="S105" i="21"/>
  <c r="S146" i="21"/>
  <c r="U146" i="21"/>
  <c r="U136" i="21"/>
  <c r="U97" i="21"/>
  <c r="R97" i="21"/>
  <c r="S93" i="21"/>
  <c r="AD57" i="15"/>
  <c r="AD32" i="15"/>
  <c r="T133" i="21"/>
  <c r="S125" i="21"/>
  <c r="T125" i="21"/>
  <c r="U125" i="21"/>
  <c r="S118" i="21"/>
  <c r="U118" i="21"/>
  <c r="U114" i="21"/>
  <c r="S114" i="21"/>
  <c r="U104" i="21"/>
  <c r="R104" i="21"/>
  <c r="S104" i="21"/>
  <c r="S102" i="21"/>
  <c r="T102" i="21"/>
  <c r="U102" i="21"/>
  <c r="R88" i="21"/>
  <c r="S88" i="21"/>
  <c r="U88" i="21"/>
  <c r="R77" i="21"/>
  <c r="U77" i="21"/>
  <c r="R73" i="21"/>
  <c r="AD42" i="15"/>
  <c r="U61" i="21"/>
  <c r="R50" i="21"/>
  <c r="S42" i="21"/>
  <c r="R38" i="21"/>
  <c r="U34" i="21"/>
  <c r="R34" i="21"/>
  <c r="S34" i="21"/>
  <c r="U28" i="21"/>
  <c r="R24" i="21"/>
  <c r="T24" i="21"/>
  <c r="U24" i="21"/>
  <c r="T20" i="21"/>
  <c r="U20" i="21"/>
  <c r="U19" i="21"/>
  <c r="R19" i="21"/>
  <c r="T85" i="21"/>
  <c r="U14" i="21"/>
  <c r="R85" i="21"/>
  <c r="M177" i="21"/>
  <c r="M180" i="21"/>
  <c r="R61" i="21"/>
  <c r="S120" i="21"/>
  <c r="T105" i="21"/>
  <c r="U42" i="21"/>
  <c r="S28" i="21"/>
  <c r="AB64" i="15"/>
  <c r="T42" i="21"/>
  <c r="S111" i="21"/>
  <c r="U73" i="21"/>
  <c r="R111" i="21"/>
  <c r="R128" i="21"/>
  <c r="S72" i="21"/>
  <c r="U58" i="21"/>
  <c r="U38" i="21"/>
  <c r="R12" i="21"/>
  <c r="U111" i="21"/>
  <c r="T128" i="21"/>
  <c r="T72" i="21"/>
  <c r="R120" i="21"/>
  <c r="S50" i="21"/>
  <c r="S75" i="21"/>
  <c r="S12" i="21"/>
  <c r="T12" i="21"/>
  <c r="U105" i="21"/>
  <c r="S61" i="21"/>
  <c r="U120" i="21"/>
  <c r="U75" i="21"/>
  <c r="S128" i="21"/>
  <c r="R114" i="21"/>
  <c r="S77" i="21"/>
  <c r="T50" i="21"/>
  <c r="T75" i="21"/>
  <c r="R28" i="21"/>
  <c r="S38" i="21"/>
  <c r="T28" i="21"/>
  <c r="T134" i="21"/>
  <c r="AB36" i="15"/>
  <c r="R58" i="21"/>
  <c r="AB39" i="15"/>
  <c r="AC39" i="15" s="1"/>
  <c r="U72" i="21"/>
  <c r="U137" i="21"/>
  <c r="S132" i="21"/>
  <c r="R150" i="21"/>
  <c r="S62" i="21"/>
  <c r="S22" i="21"/>
  <c r="S86" i="21"/>
  <c r="S47" i="21"/>
  <c r="S85" i="21"/>
  <c r="R41" i="21"/>
  <c r="S134" i="21"/>
  <c r="AB52" i="15"/>
  <c r="AD30" i="15"/>
  <c r="T92" i="21"/>
  <c r="AB65" i="15"/>
  <c r="R62" i="21"/>
  <c r="R22" i="21"/>
  <c r="R86" i="21"/>
  <c r="R47" i="21"/>
  <c r="S41" i="21"/>
  <c r="R93" i="21"/>
  <c r="M176" i="21"/>
  <c r="S137" i="21"/>
  <c r="U132" i="21"/>
  <c r="S150" i="21"/>
  <c r="T62" i="21"/>
  <c r="U22" i="21"/>
  <c r="T86" i="21"/>
  <c r="T47" i="21"/>
  <c r="U85" i="21"/>
  <c r="T41" i="21"/>
  <c r="R134" i="21"/>
  <c r="U92" i="21"/>
  <c r="AB37" i="15"/>
  <c r="R132" i="21"/>
  <c r="R159" i="21"/>
  <c r="U41" i="21"/>
  <c r="R92" i="21"/>
  <c r="R137" i="21"/>
  <c r="T150" i="21"/>
  <c r="T93" i="21"/>
  <c r="M178" i="21"/>
  <c r="S14" i="21"/>
  <c r="S19" i="21"/>
  <c r="R169" i="21"/>
  <c r="S58" i="21"/>
  <c r="S97" i="21"/>
  <c r="T159" i="21"/>
  <c r="S133" i="21"/>
  <c r="AD48" i="15"/>
  <c r="R14" i="21"/>
  <c r="T58" i="21"/>
  <c r="N179" i="21"/>
  <c r="AB12" i="15"/>
  <c r="AD12" i="15"/>
  <c r="AB35" i="15"/>
  <c r="AD35" i="15"/>
  <c r="AB29" i="15"/>
  <c r="AD29" i="15"/>
  <c r="AD51" i="15"/>
  <c r="AB51" i="15"/>
  <c r="AB59" i="15"/>
  <c r="AD59" i="15"/>
  <c r="AB26" i="15"/>
  <c r="AD26" i="15"/>
  <c r="AB58" i="15"/>
  <c r="AD58" i="15"/>
  <c r="AD66" i="15"/>
  <c r="AB66" i="15"/>
  <c r="AB45" i="15"/>
  <c r="AD45" i="15"/>
  <c r="AB43" i="15"/>
  <c r="AD43" i="15"/>
  <c r="AD53" i="15"/>
  <c r="AB53" i="15"/>
  <c r="AB63" i="15"/>
  <c r="AD63" i="15"/>
  <c r="U69" i="21"/>
  <c r="N176" i="21"/>
  <c r="T69" i="21"/>
  <c r="S69" i="21"/>
  <c r="N177" i="21"/>
  <c r="N178" i="21"/>
  <c r="N180" i="21"/>
  <c r="O185" i="21"/>
  <c r="Q180" i="21"/>
  <c r="Q179" i="21"/>
  <c r="Q178" i="21"/>
  <c r="Q177" i="21"/>
  <c r="Q176" i="21"/>
  <c r="O188" i="21"/>
  <c r="O186" i="21"/>
  <c r="O189" i="21"/>
  <c r="R187" i="21" s="1"/>
  <c r="O187" i="21"/>
  <c r="R11" i="21"/>
  <c r="S11" i="21"/>
  <c r="T11" i="21"/>
  <c r="U11" i="21"/>
  <c r="BT21" i="15"/>
  <c r="B21" i="15" s="1"/>
  <c r="AB60" i="15" l="1"/>
  <c r="AB20" i="15"/>
  <c r="AB27" i="15"/>
  <c r="AB62" i="15"/>
  <c r="AD40" i="15"/>
  <c r="AB54" i="15"/>
  <c r="AB16" i="15"/>
  <c r="AD28" i="15"/>
  <c r="AD33" i="15"/>
  <c r="AB18" i="15"/>
  <c r="AB47" i="15"/>
  <c r="BD11" i="28"/>
  <c r="BE11" i="28" s="1"/>
  <c r="BE13" i="28" s="1"/>
  <c r="BF11" i="28"/>
  <c r="BG13" i="28" s="1"/>
  <c r="BG5" i="28" s="1"/>
  <c r="BB11" i="28"/>
  <c r="BC11" i="28" s="1"/>
  <c r="AB38" i="15"/>
  <c r="AD21" i="15"/>
  <c r="AE21" i="15" s="1"/>
  <c r="AM21" i="15" s="1"/>
  <c r="AD19" i="15"/>
  <c r="AD25" i="15"/>
  <c r="AB11" i="15"/>
  <c r="AB44" i="15"/>
  <c r="AD10" i="15"/>
  <c r="AB55" i="15"/>
  <c r="AD13" i="15"/>
  <c r="AD31" i="15"/>
  <c r="AD9" i="15"/>
  <c r="AE9" i="15" s="1"/>
  <c r="AB41" i="15"/>
  <c r="AB49" i="15"/>
  <c r="AC49" i="15" s="1"/>
  <c r="AD22" i="15"/>
  <c r="AB56" i="15"/>
  <c r="AD17" i="15"/>
  <c r="AB15" i="15"/>
  <c r="R189" i="21"/>
  <c r="W191" i="21"/>
  <c r="S189" i="21"/>
  <c r="R185" i="21"/>
  <c r="R184" i="21"/>
  <c r="R186" i="21"/>
  <c r="U189" i="21"/>
  <c r="U184" i="21"/>
  <c r="U182" i="21"/>
  <c r="U187" i="21"/>
  <c r="U185" i="21"/>
  <c r="U188" i="21"/>
  <c r="U183" i="21"/>
  <c r="U186" i="21"/>
  <c r="T186" i="21"/>
  <c r="T189" i="21"/>
  <c r="T184" i="21"/>
  <c r="T182" i="21"/>
  <c r="T187" i="21"/>
  <c r="V191" i="21"/>
  <c r="T185" i="21"/>
  <c r="T180" i="21"/>
  <c r="T179" i="21"/>
  <c r="T178" i="21"/>
  <c r="T177" i="21"/>
  <c r="T176" i="21"/>
  <c r="T188" i="21"/>
  <c r="T183" i="21"/>
  <c r="S183" i="21"/>
  <c r="S186" i="21"/>
  <c r="S184" i="21"/>
  <c r="S182" i="21"/>
  <c r="S187" i="21"/>
  <c r="S181" i="21"/>
  <c r="S185" i="21"/>
  <c r="S180" i="21"/>
  <c r="S179" i="21"/>
  <c r="S178" i="21"/>
  <c r="S177" i="21"/>
  <c r="S176" i="21"/>
  <c r="R180" i="21"/>
  <c r="R177" i="21"/>
  <c r="R179" i="21"/>
  <c r="R176" i="21"/>
  <c r="R178" i="21"/>
  <c r="AN21" i="15" l="1"/>
  <c r="BS21" i="15" s="1"/>
  <c r="BO13" i="28"/>
  <c r="BC13" i="28"/>
  <c r="R188" i="21"/>
  <c r="U190" i="21"/>
  <c r="S188" i="21"/>
  <c r="T190" i="21" s="1"/>
  <c r="CO11" i="28" l="1"/>
  <c r="CO13" i="28" s="1"/>
  <c r="BN13" i="28"/>
  <c r="BM49" i="15"/>
  <c r="BE49" i="15"/>
  <c r="AX49" i="15"/>
  <c r="AR49" i="15"/>
  <c r="Y49" i="15"/>
  <c r="BO49" i="15" s="1"/>
  <c r="BM25" i="15"/>
  <c r="BE25" i="15"/>
  <c r="AX25" i="15"/>
  <c r="AR25" i="15"/>
  <c r="AJ25" i="15"/>
  <c r="AK25" i="15" s="1"/>
  <c r="Y25" i="15"/>
  <c r="T25" i="15"/>
  <c r="AC25" i="15" s="1"/>
  <c r="BM36" i="15"/>
  <c r="BE36" i="15"/>
  <c r="AX36" i="15"/>
  <c r="AR36" i="15"/>
  <c r="AJ36" i="15"/>
  <c r="AK36" i="15" s="1"/>
  <c r="Y36" i="15"/>
  <c r="BO36" i="15" s="1"/>
  <c r="T36" i="15"/>
  <c r="BM48" i="15"/>
  <c r="BE48" i="15"/>
  <c r="AX48" i="15"/>
  <c r="AR48" i="15"/>
  <c r="AJ48" i="15"/>
  <c r="AK48" i="15" s="1"/>
  <c r="Y48" i="15"/>
  <c r="BO48" i="15" s="1"/>
  <c r="T48" i="15"/>
  <c r="BM28" i="15"/>
  <c r="BE28" i="15"/>
  <c r="AX28" i="15"/>
  <c r="AR28" i="15"/>
  <c r="AJ28" i="15"/>
  <c r="Y28" i="15"/>
  <c r="BO28" i="15" s="1"/>
  <c r="T28" i="15"/>
  <c r="AC28" i="15" s="1"/>
  <c r="BN53" i="15"/>
  <c r="BE53" i="15"/>
  <c r="AX53" i="15"/>
  <c r="AR53" i="15"/>
  <c r="AJ53" i="15"/>
  <c r="AK53" i="15" s="1"/>
  <c r="Y53" i="15"/>
  <c r="T53" i="15"/>
  <c r="BM52" i="15"/>
  <c r="BE52" i="15"/>
  <c r="AX52" i="15"/>
  <c r="AR52" i="15"/>
  <c r="AJ52" i="15"/>
  <c r="Y52" i="15"/>
  <c r="T52" i="15"/>
  <c r="AC52" i="15" s="1"/>
  <c r="AJ62" i="15"/>
  <c r="AJ63" i="15"/>
  <c r="AK63" i="15" s="1"/>
  <c r="AJ15" i="15"/>
  <c r="AJ61" i="15"/>
  <c r="AK61" i="15" s="1"/>
  <c r="AJ60" i="15"/>
  <c r="AK60" i="15" s="1"/>
  <c r="AJ22" i="15"/>
  <c r="AJ66" i="15"/>
  <c r="AK66" i="15" s="1"/>
  <c r="AJ65" i="15"/>
  <c r="AK65" i="15" s="1"/>
  <c r="AJ64" i="15"/>
  <c r="AK64" i="15" s="1"/>
  <c r="AJ46" i="15"/>
  <c r="AK46" i="15" s="1"/>
  <c r="AJ44" i="15"/>
  <c r="AJ38" i="15"/>
  <c r="AJ14" i="15"/>
  <c r="AJ54" i="15"/>
  <c r="AK54" i="15" s="1"/>
  <c r="AJ40" i="15"/>
  <c r="AJ16" i="15"/>
  <c r="AJ33" i="15"/>
  <c r="AK33" i="15" s="1"/>
  <c r="AJ59" i="15"/>
  <c r="AJ26" i="15"/>
  <c r="AK26" i="15" s="1"/>
  <c r="AJ8" i="15"/>
  <c r="AJ43" i="15"/>
  <c r="AK43" i="15" s="1"/>
  <c r="AJ58" i="15"/>
  <c r="AK58" i="15" s="1"/>
  <c r="AJ37" i="15"/>
  <c r="AK37" i="15" s="1"/>
  <c r="AJ11" i="15"/>
  <c r="AJ50" i="15"/>
  <c r="AJ29" i="15"/>
  <c r="AK29" i="15" s="1"/>
  <c r="AJ30" i="15"/>
  <c r="AK30" i="15" s="1"/>
  <c r="AJ55" i="15"/>
  <c r="AJ45" i="15"/>
  <c r="AJ10" i="15"/>
  <c r="AJ31" i="15"/>
  <c r="AK31" i="15" s="1"/>
  <c r="AJ35" i="15"/>
  <c r="AJ57" i="15"/>
  <c r="AJ42" i="15"/>
  <c r="AK42" i="15" s="1"/>
  <c r="AJ9" i="15"/>
  <c r="AJ18" i="15"/>
  <c r="AJ34" i="15"/>
  <c r="AK34" i="15" s="1"/>
  <c r="AJ19" i="15"/>
  <c r="AJ32" i="15"/>
  <c r="AJ56" i="15"/>
  <c r="AK56" i="15" s="1"/>
  <c r="AJ39" i="15"/>
  <c r="AK39" i="15" s="1"/>
  <c r="AJ41" i="15"/>
  <c r="AK41" i="15" s="1"/>
  <c r="AJ13" i="15"/>
  <c r="AK13" i="15" s="1"/>
  <c r="AJ47" i="15"/>
  <c r="AJ51" i="15"/>
  <c r="AK51" i="15" s="1"/>
  <c r="AJ68" i="15" l="1"/>
  <c r="AJ4" i="15" s="1"/>
  <c r="BN36" i="15"/>
  <c r="BN28" i="15"/>
  <c r="BN48" i="15"/>
  <c r="V36" i="15"/>
  <c r="AK38" i="15"/>
  <c r="AM38" i="15" s="1"/>
  <c r="V48" i="15"/>
  <c r="AK49" i="15"/>
  <c r="AM49" i="15" s="1"/>
  <c r="V53" i="15"/>
  <c r="V52" i="15"/>
  <c r="AE52" i="15" s="1"/>
  <c r="V28" i="15"/>
  <c r="V25" i="15"/>
  <c r="BN25" i="15"/>
  <c r="BO25" i="15"/>
  <c r="BN52" i="15"/>
  <c r="BO52" i="15"/>
  <c r="BM53" i="15"/>
  <c r="BO53" i="15"/>
  <c r="BK49" i="15"/>
  <c r="BN49" i="15"/>
  <c r="BK25" i="15"/>
  <c r="BK36" i="15"/>
  <c r="BL25" i="15"/>
  <c r="BQ49" i="15"/>
  <c r="BJ49" i="15"/>
  <c r="BL49" i="15"/>
  <c r="BL48" i="15"/>
  <c r="BQ25" i="15"/>
  <c r="BJ25" i="15"/>
  <c r="BJ48" i="15"/>
  <c r="BQ48" i="15"/>
  <c r="BL53" i="15"/>
  <c r="BL36" i="15"/>
  <c r="BQ36" i="15"/>
  <c r="BJ28" i="15"/>
  <c r="BJ36" i="15"/>
  <c r="BK48" i="15"/>
  <c r="BQ28" i="15"/>
  <c r="BK28" i="15"/>
  <c r="BL28" i="15"/>
  <c r="BJ53" i="15"/>
  <c r="BQ53" i="15"/>
  <c r="BK53" i="15"/>
  <c r="BK52" i="15"/>
  <c r="BJ52" i="15"/>
  <c r="BL52" i="15"/>
  <c r="BQ52" i="15"/>
  <c r="AK68" i="15" l="1"/>
  <c r="AK4" i="15"/>
  <c r="AM53" i="15"/>
  <c r="AM36" i="15"/>
  <c r="AM28" i="15"/>
  <c r="AM48" i="15"/>
  <c r="AM52" i="15"/>
  <c r="BT49" i="15"/>
  <c r="B49" i="15" s="1"/>
  <c r="BT25" i="15"/>
  <c r="B25" i="15" s="1"/>
  <c r="BT53" i="15"/>
  <c r="B53" i="15" s="1"/>
  <c r="BT36" i="15"/>
  <c r="B36" i="15" s="1"/>
  <c r="BT48" i="15"/>
  <c r="B48" i="15" s="1"/>
  <c r="BT28" i="15"/>
  <c r="B28" i="15" s="1"/>
  <c r="BT52" i="15"/>
  <c r="B52" i="15" s="1"/>
  <c r="AM25" i="15" l="1"/>
  <c r="BS25" i="15" s="1"/>
  <c r="BS52" i="15"/>
  <c r="BS36" i="15"/>
  <c r="BS53" i="15"/>
  <c r="BS48" i="15"/>
  <c r="BS28" i="15"/>
  <c r="BS49" i="15"/>
  <c r="BE51" i="15" l="1"/>
  <c r="AX51" i="15"/>
  <c r="AR51" i="15"/>
  <c r="Y51" i="15"/>
  <c r="BO51" i="15" s="1"/>
  <c r="T51" i="15"/>
  <c r="BN51" i="15" l="1"/>
  <c r="V51" i="15"/>
  <c r="BM51" i="15"/>
  <c r="BQ51" i="15"/>
  <c r="BJ51" i="15"/>
  <c r="BK51" i="15"/>
  <c r="BL51" i="15"/>
  <c r="BM13" i="15"/>
  <c r="BE13" i="15"/>
  <c r="AX13" i="15"/>
  <c r="AR13" i="15"/>
  <c r="Y13" i="15"/>
  <c r="BO13" i="15" s="1"/>
  <c r="T13" i="15"/>
  <c r="BM56" i="15"/>
  <c r="BE56" i="15"/>
  <c r="AX56" i="15"/>
  <c r="AR56" i="15"/>
  <c r="Y56" i="15"/>
  <c r="T56" i="15"/>
  <c r="BM18" i="15"/>
  <c r="BE18" i="15"/>
  <c r="AX18" i="15"/>
  <c r="AR18" i="15"/>
  <c r="Y18" i="15"/>
  <c r="BO18" i="15" s="1"/>
  <c r="T18" i="15"/>
  <c r="BM42" i="15"/>
  <c r="BE42" i="15"/>
  <c r="AX42" i="15"/>
  <c r="AR42" i="15"/>
  <c r="Y42" i="15"/>
  <c r="BO42" i="15" s="1"/>
  <c r="T42" i="15"/>
  <c r="BM35" i="15"/>
  <c r="BE35" i="15"/>
  <c r="AX35" i="15"/>
  <c r="AR35" i="15"/>
  <c r="Y35" i="15"/>
  <c r="BO35" i="15" s="1"/>
  <c r="T35" i="15"/>
  <c r="AC35" i="15" s="1"/>
  <c r="BM31" i="15"/>
  <c r="BE31" i="15"/>
  <c r="AX31" i="15"/>
  <c r="AR31" i="15"/>
  <c r="Y31" i="15"/>
  <c r="BO31" i="15" s="1"/>
  <c r="BM30" i="15"/>
  <c r="BE30" i="15"/>
  <c r="AX30" i="15"/>
  <c r="AR30" i="15"/>
  <c r="Y30" i="15"/>
  <c r="T30" i="15"/>
  <c r="AC30" i="15" s="1"/>
  <c r="BE29" i="15"/>
  <c r="AX29" i="15"/>
  <c r="AR29" i="15"/>
  <c r="Y29" i="15"/>
  <c r="BO29" i="15" s="1"/>
  <c r="T29" i="15"/>
  <c r="AC29" i="15" s="1"/>
  <c r="BM50" i="15"/>
  <c r="BE50" i="15"/>
  <c r="AX50" i="15"/>
  <c r="AR50" i="15"/>
  <c r="Y50" i="15"/>
  <c r="T50" i="15"/>
  <c r="AC50" i="15" s="1"/>
  <c r="BM11" i="15"/>
  <c r="BE11" i="15"/>
  <c r="AX11" i="15"/>
  <c r="AR11" i="15"/>
  <c r="Y11" i="15"/>
  <c r="BO11" i="15" s="1"/>
  <c r="T11" i="15"/>
  <c r="BE20" i="15"/>
  <c r="AX20" i="15"/>
  <c r="AR20" i="15"/>
  <c r="Y20" i="15"/>
  <c r="BO20" i="15" s="1"/>
  <c r="T20" i="15"/>
  <c r="BM58" i="15"/>
  <c r="BE58" i="15"/>
  <c r="AX58" i="15"/>
  <c r="AR58" i="15"/>
  <c r="Y58" i="15"/>
  <c r="BO58" i="15" s="1"/>
  <c r="T58" i="15"/>
  <c r="AC58" i="15" s="1"/>
  <c r="BM59" i="15"/>
  <c r="BE59" i="15"/>
  <c r="AX59" i="15"/>
  <c r="AR59" i="15"/>
  <c r="Y59" i="15"/>
  <c r="BO59" i="15" s="1"/>
  <c r="T59" i="15"/>
  <c r="BE26" i="15"/>
  <c r="AX26" i="15"/>
  <c r="AR26" i="15"/>
  <c r="Y26" i="15"/>
  <c r="T26" i="15"/>
  <c r="AC26" i="15" s="1"/>
  <c r="BM40" i="15"/>
  <c r="BE40" i="15"/>
  <c r="AX40" i="15"/>
  <c r="AR40" i="15"/>
  <c r="Y40" i="15"/>
  <c r="BO40" i="15" s="1"/>
  <c r="T40" i="15"/>
  <c r="AC40" i="15" s="1"/>
  <c r="BE12" i="15"/>
  <c r="AX12" i="15"/>
  <c r="AR12" i="15"/>
  <c r="Y12" i="15"/>
  <c r="BO12" i="15" s="1"/>
  <c r="T12" i="15"/>
  <c r="BM43" i="15"/>
  <c r="BE43" i="15"/>
  <c r="AX43" i="15"/>
  <c r="AR43" i="15"/>
  <c r="Y43" i="15"/>
  <c r="BO43" i="15" s="1"/>
  <c r="T43" i="15"/>
  <c r="AC43" i="15" s="1"/>
  <c r="BE8" i="15"/>
  <c r="AX8" i="15"/>
  <c r="AR8" i="15"/>
  <c r="AO8" i="15"/>
  <c r="AD8" i="15"/>
  <c r="Y8" i="15"/>
  <c r="T8" i="15"/>
  <c r="V8" i="15" s="1"/>
  <c r="BE33" i="15"/>
  <c r="AX33" i="15"/>
  <c r="AR33" i="15"/>
  <c r="Y33" i="15"/>
  <c r="T33" i="15"/>
  <c r="BM16" i="15"/>
  <c r="BE16" i="15"/>
  <c r="AX16" i="15"/>
  <c r="AR16" i="15"/>
  <c r="Y16" i="15"/>
  <c r="BO16" i="15" s="1"/>
  <c r="T16" i="15"/>
  <c r="BM54" i="15"/>
  <c r="BE54" i="15"/>
  <c r="AX54" i="15"/>
  <c r="AR54" i="15"/>
  <c r="Y54" i="15"/>
  <c r="T54" i="15"/>
  <c r="BM38" i="15"/>
  <c r="BE38" i="15"/>
  <c r="AX38" i="15"/>
  <c r="AR38" i="15"/>
  <c r="Y38" i="15"/>
  <c r="BO38" i="15" s="1"/>
  <c r="T38" i="15"/>
  <c r="AC38" i="15" s="1"/>
  <c r="BM44" i="15"/>
  <c r="BE44" i="15"/>
  <c r="AX44" i="15"/>
  <c r="AR44" i="15"/>
  <c r="Y44" i="15"/>
  <c r="BO44" i="15" s="1"/>
  <c r="T44" i="15"/>
  <c r="BN46" i="15"/>
  <c r="BE46" i="15"/>
  <c r="AX46" i="15"/>
  <c r="AR46" i="15"/>
  <c r="Y46" i="15"/>
  <c r="BO46" i="15" s="1"/>
  <c r="T46" i="15"/>
  <c r="AC46" i="15" s="1"/>
  <c r="BN66" i="15"/>
  <c r="BM66" i="15"/>
  <c r="BE66" i="15"/>
  <c r="AX66" i="15"/>
  <c r="AR66" i="15"/>
  <c r="Y66" i="15"/>
  <c r="BO66" i="15" s="1"/>
  <c r="T66" i="15"/>
  <c r="BM17" i="15"/>
  <c r="BE17" i="15"/>
  <c r="AX17" i="15"/>
  <c r="AR17" i="15"/>
  <c r="Y17" i="15"/>
  <c r="BO17" i="15" s="1"/>
  <c r="T17" i="15"/>
  <c r="BM22" i="15"/>
  <c r="BE22" i="15"/>
  <c r="AX22" i="15"/>
  <c r="AR22" i="15"/>
  <c r="Y22" i="15"/>
  <c r="T22" i="15"/>
  <c r="BO8" i="15" l="1"/>
  <c r="BN18" i="15"/>
  <c r="BN11" i="15"/>
  <c r="BM12" i="15"/>
  <c r="BN12" i="15"/>
  <c r="BN17" i="15"/>
  <c r="BM46" i="15"/>
  <c r="BM8" i="15"/>
  <c r="BN38" i="15"/>
  <c r="BN44" i="15"/>
  <c r="BN29" i="15"/>
  <c r="BM20" i="15"/>
  <c r="BN16" i="15"/>
  <c r="BM29" i="15"/>
  <c r="AE8" i="15"/>
  <c r="V44" i="15"/>
  <c r="V16" i="15"/>
  <c r="AE16" i="15" s="1"/>
  <c r="AC16" i="15"/>
  <c r="V17" i="15"/>
  <c r="AN17" i="15" s="1"/>
  <c r="V30" i="15"/>
  <c r="AE30" i="15" s="1"/>
  <c r="V42" i="15"/>
  <c r="V40" i="15"/>
  <c r="AE40" i="15" s="1"/>
  <c r="V12" i="15"/>
  <c r="AC12" i="15"/>
  <c r="V58" i="15"/>
  <c r="AE58" i="15" s="1"/>
  <c r="V20" i="15"/>
  <c r="V56" i="15"/>
  <c r="V46" i="15"/>
  <c r="AE46" i="15" s="1"/>
  <c r="V22" i="15"/>
  <c r="V29" i="15"/>
  <c r="V35" i="15"/>
  <c r="AE35" i="15" s="1"/>
  <c r="V18" i="15"/>
  <c r="V66" i="15"/>
  <c r="AE66" i="15" s="1"/>
  <c r="AC66" i="15"/>
  <c r="V43" i="15"/>
  <c r="AE43" i="15" s="1"/>
  <c r="V59" i="15"/>
  <c r="AE59" i="15" s="1"/>
  <c r="V11" i="15"/>
  <c r="AE11" i="15" s="1"/>
  <c r="V13" i="15"/>
  <c r="AC13" i="15"/>
  <c r="V26" i="15"/>
  <c r="AE26" i="15" s="1"/>
  <c r="V38" i="15"/>
  <c r="V54" i="15"/>
  <c r="V33" i="15"/>
  <c r="V50" i="15"/>
  <c r="V31" i="15"/>
  <c r="AE31" i="15" s="1"/>
  <c r="AM51" i="15"/>
  <c r="BN40" i="15"/>
  <c r="BN33" i="15"/>
  <c r="BO33" i="15"/>
  <c r="BN30" i="15"/>
  <c r="BO30" i="15"/>
  <c r="BM26" i="15"/>
  <c r="BO26" i="15"/>
  <c r="BN56" i="15"/>
  <c r="BO56" i="15"/>
  <c r="BN22" i="15"/>
  <c r="BO22" i="15"/>
  <c r="BN54" i="15"/>
  <c r="BO54" i="15"/>
  <c r="BN50" i="15"/>
  <c r="BO50" i="15"/>
  <c r="BM33" i="15"/>
  <c r="BT51" i="15"/>
  <c r="B51" i="15" s="1"/>
  <c r="BJ13" i="15"/>
  <c r="BQ13" i="15"/>
  <c r="BQ56" i="15"/>
  <c r="BL13" i="15"/>
  <c r="BK56" i="15"/>
  <c r="BK13" i="15"/>
  <c r="BN13" i="15"/>
  <c r="BJ56" i="15"/>
  <c r="BL56" i="15"/>
  <c r="BK18" i="15"/>
  <c r="BJ18" i="15"/>
  <c r="BL18" i="15"/>
  <c r="BQ18" i="15"/>
  <c r="BL35" i="15"/>
  <c r="BL42" i="15"/>
  <c r="BQ42" i="15"/>
  <c r="BJ42" i="15"/>
  <c r="BK42" i="15"/>
  <c r="BN42" i="15"/>
  <c r="BJ35" i="15"/>
  <c r="BK31" i="15"/>
  <c r="BL31" i="15"/>
  <c r="BQ35" i="15"/>
  <c r="BL30" i="15"/>
  <c r="BJ31" i="15"/>
  <c r="BK35" i="15"/>
  <c r="BQ31" i="15"/>
  <c r="BN35" i="15"/>
  <c r="BJ29" i="15"/>
  <c r="BK30" i="15"/>
  <c r="BN31" i="15"/>
  <c r="BL29" i="15"/>
  <c r="BQ29" i="15"/>
  <c r="BJ50" i="15"/>
  <c r="BK50" i="15"/>
  <c r="BL50" i="15"/>
  <c r="BJ30" i="15"/>
  <c r="BK29" i="15"/>
  <c r="BQ30" i="15"/>
  <c r="BQ50" i="15"/>
  <c r="BK20" i="15"/>
  <c r="BL20" i="15"/>
  <c r="BK11" i="15"/>
  <c r="BL12" i="15"/>
  <c r="BL11" i="15"/>
  <c r="BQ11" i="15"/>
  <c r="BQ20" i="15"/>
  <c r="BK26" i="15"/>
  <c r="BJ11" i="15"/>
  <c r="BJ20" i="15"/>
  <c r="BL58" i="15"/>
  <c r="BJ26" i="15"/>
  <c r="BL59" i="15"/>
  <c r="BN20" i="15"/>
  <c r="BL26" i="15"/>
  <c r="BJ40" i="15"/>
  <c r="BQ58" i="15"/>
  <c r="BQ59" i="15"/>
  <c r="BQ12" i="15"/>
  <c r="BK59" i="15"/>
  <c r="BJ58" i="15"/>
  <c r="BK58" i="15"/>
  <c r="BN58" i="15"/>
  <c r="BK40" i="15"/>
  <c r="BQ40" i="15"/>
  <c r="BJ59" i="15"/>
  <c r="BK46" i="15"/>
  <c r="BQ26" i="15"/>
  <c r="AB8" i="15"/>
  <c r="BN59" i="15"/>
  <c r="BQ16" i="15"/>
  <c r="BK12" i="15"/>
  <c r="BL40" i="15"/>
  <c r="BN26" i="15"/>
  <c r="BK33" i="15"/>
  <c r="BJ12" i="15"/>
  <c r="BK17" i="15"/>
  <c r="BK16" i="15"/>
  <c r="BL8" i="15"/>
  <c r="BL54" i="15"/>
  <c r="BK8" i="15"/>
  <c r="BJ43" i="15"/>
  <c r="BL33" i="15"/>
  <c r="BL46" i="15"/>
  <c r="BK38" i="15"/>
  <c r="BQ54" i="15"/>
  <c r="BK43" i="15"/>
  <c r="BJ8" i="15"/>
  <c r="BL43" i="15"/>
  <c r="BJ44" i="15"/>
  <c r="BJ33" i="15"/>
  <c r="BQ43" i="15"/>
  <c r="BL22" i="15"/>
  <c r="BJ16" i="15"/>
  <c r="BQ8" i="15"/>
  <c r="BJ54" i="15"/>
  <c r="BQ33" i="15"/>
  <c r="BK54" i="15"/>
  <c r="BL16" i="15"/>
  <c r="BJ66" i="15"/>
  <c r="BK66" i="15"/>
  <c r="BN8" i="15"/>
  <c r="BJ38" i="15"/>
  <c r="BN43" i="15"/>
  <c r="BK44" i="15"/>
  <c r="BQ38" i="15"/>
  <c r="BL44" i="15"/>
  <c r="BQ46" i="15"/>
  <c r="BQ44" i="15"/>
  <c r="BL38" i="15"/>
  <c r="BJ46" i="15"/>
  <c r="BJ22" i="15"/>
  <c r="BJ17" i="15"/>
  <c r="BK22" i="15"/>
  <c r="BL66" i="15"/>
  <c r="BL17" i="15"/>
  <c r="BQ66" i="15"/>
  <c r="BQ22" i="15"/>
  <c r="BQ17" i="15"/>
  <c r="BE63" i="15"/>
  <c r="BE15" i="15"/>
  <c r="BE61" i="15"/>
  <c r="BE60" i="15"/>
  <c r="BE65" i="15"/>
  <c r="BE64" i="15"/>
  <c r="BE27" i="15"/>
  <c r="BE14" i="15"/>
  <c r="BE37" i="15"/>
  <c r="BE55" i="15"/>
  <c r="BE45" i="15"/>
  <c r="BE10" i="15"/>
  <c r="BE57" i="15"/>
  <c r="BE9" i="15"/>
  <c r="BE34" i="15"/>
  <c r="BE19" i="15"/>
  <c r="BE32" i="15"/>
  <c r="BE39" i="15"/>
  <c r="BE41" i="15"/>
  <c r="BE47" i="15"/>
  <c r="AX63" i="15"/>
  <c r="AX15" i="15"/>
  <c r="AX61" i="15"/>
  <c r="AX60" i="15"/>
  <c r="AX65" i="15"/>
  <c r="AX64" i="15"/>
  <c r="AX27" i="15"/>
  <c r="AX14" i="15"/>
  <c r="AX37" i="15"/>
  <c r="AX55" i="15"/>
  <c r="AX45" i="15"/>
  <c r="AX10" i="15"/>
  <c r="AX57" i="15"/>
  <c r="AX9" i="15"/>
  <c r="AX34" i="15"/>
  <c r="AX19" i="15"/>
  <c r="AX32" i="15"/>
  <c r="AX39" i="15"/>
  <c r="AX41" i="15"/>
  <c r="AX47" i="15"/>
  <c r="AR63" i="15"/>
  <c r="AR15" i="15"/>
  <c r="AR61" i="15"/>
  <c r="AR60" i="15"/>
  <c r="AR65" i="15"/>
  <c r="AR64" i="15"/>
  <c r="AR27" i="15"/>
  <c r="AR14" i="15"/>
  <c r="AR37" i="15"/>
  <c r="AR55" i="15"/>
  <c r="AR45" i="15"/>
  <c r="AR10" i="15"/>
  <c r="AR57" i="15"/>
  <c r="AR9" i="15"/>
  <c r="AR34" i="15"/>
  <c r="AR19" i="15"/>
  <c r="AR32" i="15"/>
  <c r="AR39" i="15"/>
  <c r="AR41" i="15"/>
  <c r="AR47" i="15"/>
  <c r="BM37" i="15"/>
  <c r="BN37" i="15"/>
  <c r="BM55" i="15"/>
  <c r="BM45" i="15"/>
  <c r="BN45" i="15"/>
  <c r="BM10" i="15"/>
  <c r="BM57" i="15"/>
  <c r="BM9" i="15"/>
  <c r="BM34" i="15"/>
  <c r="BM19" i="15"/>
  <c r="BM32" i="15"/>
  <c r="BN32" i="15"/>
  <c r="BM39" i="15"/>
  <c r="BM41" i="15"/>
  <c r="BM47" i="15"/>
  <c r="Y63" i="15"/>
  <c r="BO63" i="15" s="1"/>
  <c r="Y15" i="15"/>
  <c r="BO15" i="15" s="1"/>
  <c r="Y61" i="15"/>
  <c r="BO61" i="15" s="1"/>
  <c r="Y60" i="15"/>
  <c r="Y65" i="15"/>
  <c r="Y64" i="15"/>
  <c r="Y27" i="15"/>
  <c r="BO27" i="15" s="1"/>
  <c r="Y14" i="15"/>
  <c r="BO14" i="15" s="1"/>
  <c r="Y37" i="15"/>
  <c r="BO37" i="15" s="1"/>
  <c r="Y55" i="15"/>
  <c r="BO55" i="15" s="1"/>
  <c r="Y45" i="15"/>
  <c r="BO45" i="15" s="1"/>
  <c r="Y10" i="15"/>
  <c r="BO10" i="15" s="1"/>
  <c r="Y57" i="15"/>
  <c r="Y9" i="15"/>
  <c r="BO9" i="15" s="1"/>
  <c r="Y34" i="15"/>
  <c r="Y19" i="15"/>
  <c r="Y32" i="15"/>
  <c r="BO32" i="15" s="1"/>
  <c r="Y39" i="15"/>
  <c r="Y41" i="15"/>
  <c r="BO41" i="15" s="1"/>
  <c r="Y47" i="15"/>
  <c r="T37" i="15"/>
  <c r="AC37" i="15" s="1"/>
  <c r="T55" i="15"/>
  <c r="T45" i="15"/>
  <c r="T10" i="15"/>
  <c r="T57" i="15"/>
  <c r="T34" i="15"/>
  <c r="AC34" i="15" s="1"/>
  <c r="T19" i="15"/>
  <c r="T32" i="15"/>
  <c r="AC32" i="15" s="1"/>
  <c r="T41" i="15"/>
  <c r="AC41" i="15" s="1"/>
  <c r="T47" i="15"/>
  <c r="AC47" i="15" s="1"/>
  <c r="BM14" i="15"/>
  <c r="T14" i="15"/>
  <c r="BM27" i="15"/>
  <c r="T27" i="15"/>
  <c r="AC27" i="15" s="1"/>
  <c r="BM64" i="15"/>
  <c r="T64" i="15"/>
  <c r="AC64" i="15" s="1"/>
  <c r="BM65" i="15"/>
  <c r="BM60" i="15"/>
  <c r="T60" i="15"/>
  <c r="AC60" i="15" s="1"/>
  <c r="BM61" i="15"/>
  <c r="T61" i="15"/>
  <c r="AC61" i="15" s="1"/>
  <c r="T15" i="15"/>
  <c r="BN63" i="15"/>
  <c r="BM63" i="15"/>
  <c r="T63" i="15"/>
  <c r="AC63" i="15" s="1"/>
  <c r="BE62" i="15"/>
  <c r="AX62" i="15"/>
  <c r="AR62" i="15"/>
  <c r="Y62" i="15"/>
  <c r="T62" i="15"/>
  <c r="BT8" i="15" l="1"/>
  <c r="B8" i="15" s="1"/>
  <c r="AE12" i="15"/>
  <c r="AN12" i="15" s="1"/>
  <c r="BM15" i="15"/>
  <c r="BN15" i="15"/>
  <c r="BN55" i="15"/>
  <c r="BN27" i="15"/>
  <c r="V34" i="15"/>
  <c r="AE34" i="15" s="1"/>
  <c r="AE19" i="15"/>
  <c r="AC19" i="15"/>
  <c r="V15" i="15"/>
  <c r="AE15" i="15" s="1"/>
  <c r="V57" i="15"/>
  <c r="V27" i="15"/>
  <c r="V10" i="15"/>
  <c r="V61" i="15"/>
  <c r="V45" i="15"/>
  <c r="V62" i="15"/>
  <c r="V55" i="15"/>
  <c r="AE38" i="15"/>
  <c r="V14" i="15"/>
  <c r="AE14" i="15" s="1"/>
  <c r="AC14" i="15"/>
  <c r="V37" i="15"/>
  <c r="AE37" i="15" s="1"/>
  <c r="V47" i="15"/>
  <c r="AE47" i="15" s="1"/>
  <c r="V63" i="15"/>
  <c r="V32" i="15"/>
  <c r="BS51" i="15"/>
  <c r="AM8" i="15"/>
  <c r="BN14" i="15"/>
  <c r="V64" i="15"/>
  <c r="AM11" i="15"/>
  <c r="AM33" i="15"/>
  <c r="AM35" i="15"/>
  <c r="AM12" i="15"/>
  <c r="AM46" i="15"/>
  <c r="AM22" i="15"/>
  <c r="AM29" i="15"/>
  <c r="AM42" i="15"/>
  <c r="AM59" i="15"/>
  <c r="AM54" i="15"/>
  <c r="AM26" i="15"/>
  <c r="AM17" i="15"/>
  <c r="AM31" i="15"/>
  <c r="AM43" i="15"/>
  <c r="AM44" i="15"/>
  <c r="AM40" i="15"/>
  <c r="AM56" i="15"/>
  <c r="AM20" i="15"/>
  <c r="AM16" i="15"/>
  <c r="V60" i="15"/>
  <c r="V41" i="15"/>
  <c r="V39" i="15"/>
  <c r="AE39" i="15" s="1"/>
  <c r="AM13" i="15"/>
  <c r="AM30" i="15"/>
  <c r="AM50" i="15"/>
  <c r="AM18" i="15"/>
  <c r="AM58" i="15"/>
  <c r="BN19" i="15"/>
  <c r="BO19" i="15"/>
  <c r="BN34" i="15"/>
  <c r="BO34" i="15"/>
  <c r="BN65" i="15"/>
  <c r="BO65" i="15"/>
  <c r="BN64" i="15"/>
  <c r="BO64" i="15"/>
  <c r="BN60" i="15"/>
  <c r="BO60" i="15"/>
  <c r="BN39" i="15"/>
  <c r="BO39" i="15"/>
  <c r="BN57" i="15"/>
  <c r="BO57" i="15"/>
  <c r="BM62" i="15"/>
  <c r="BO62" i="15"/>
  <c r="BN47" i="15"/>
  <c r="BO47" i="15"/>
  <c r="BT13" i="15"/>
  <c r="B13" i="15" s="1"/>
  <c r="BT56" i="15"/>
  <c r="B56" i="15" s="1"/>
  <c r="BT18" i="15"/>
  <c r="B18" i="15" s="1"/>
  <c r="BT29" i="15"/>
  <c r="B29" i="15" s="1"/>
  <c r="BT42" i="15"/>
  <c r="B42" i="15" s="1"/>
  <c r="BT31" i="15"/>
  <c r="B31" i="15" s="1"/>
  <c r="BT35" i="15"/>
  <c r="B35" i="15" s="1"/>
  <c r="BT30" i="15"/>
  <c r="B30" i="15" s="1"/>
  <c r="BT50" i="15"/>
  <c r="B50" i="15" s="1"/>
  <c r="BT11" i="15"/>
  <c r="B11" i="15" s="1"/>
  <c r="BT20" i="15"/>
  <c r="B20" i="15" s="1"/>
  <c r="BT58" i="15"/>
  <c r="B58" i="15" s="1"/>
  <c r="BT40" i="15"/>
  <c r="B40" i="15" s="1"/>
  <c r="BT59" i="15"/>
  <c r="B59" i="15" s="1"/>
  <c r="BT12" i="15"/>
  <c r="B12" i="15" s="1"/>
  <c r="BT26" i="15"/>
  <c r="B26" i="15" s="1"/>
  <c r="BT16" i="15"/>
  <c r="B16" i="15" s="1"/>
  <c r="BQ9" i="15"/>
  <c r="BQ15" i="15"/>
  <c r="BT33" i="15"/>
  <c r="B33" i="15" s="1"/>
  <c r="BT54" i="15"/>
  <c r="B54" i="15" s="1"/>
  <c r="BT43" i="15"/>
  <c r="B43" i="15" s="1"/>
  <c r="BT38" i="15"/>
  <c r="B38" i="15" s="1"/>
  <c r="BT44" i="15"/>
  <c r="B44" i="15" s="1"/>
  <c r="BQ45" i="15"/>
  <c r="BJ10" i="15"/>
  <c r="BQ60" i="15"/>
  <c r="BT46" i="15"/>
  <c r="B46" i="15" s="1"/>
  <c r="BQ37" i="15"/>
  <c r="BT22" i="15"/>
  <c r="B22" i="15" s="1"/>
  <c r="BT17" i="15"/>
  <c r="B17" i="15" s="1"/>
  <c r="BQ32" i="15"/>
  <c r="BK61" i="15"/>
  <c r="BJ64" i="15"/>
  <c r="BJ41" i="15"/>
  <c r="BJ32" i="15"/>
  <c r="BJ55" i="15"/>
  <c r="BK10" i="15"/>
  <c r="BK65" i="15"/>
  <c r="BQ34" i="15"/>
  <c r="BK63" i="15"/>
  <c r="BL34" i="15"/>
  <c r="BL37" i="15"/>
  <c r="BL14" i="15"/>
  <c r="BL61" i="15"/>
  <c r="BJ27" i="15"/>
  <c r="BL10" i="15"/>
  <c r="BL65" i="15"/>
  <c r="BK47" i="15"/>
  <c r="BL27" i="15"/>
  <c r="BQ27" i="15"/>
  <c r="BJ34" i="15"/>
  <c r="BJ37" i="15"/>
  <c r="BK32" i="15"/>
  <c r="BK60" i="15"/>
  <c r="BL63" i="15"/>
  <c r="BQ14" i="15"/>
  <c r="BK27" i="15"/>
  <c r="BJ47" i="15"/>
  <c r="BJ9" i="15"/>
  <c r="BJ15" i="15"/>
  <c r="BL55" i="15"/>
  <c r="BQ10" i="15"/>
  <c r="BQ65" i="15"/>
  <c r="BK41" i="15"/>
  <c r="BK19" i="15"/>
  <c r="BK55" i="15"/>
  <c r="BN41" i="15"/>
  <c r="BK64" i="15"/>
  <c r="BL15" i="15"/>
  <c r="BJ39" i="15"/>
  <c r="BQ39" i="15"/>
  <c r="BL62" i="15"/>
  <c r="BJ60" i="15"/>
  <c r="BJ57" i="15"/>
  <c r="BK39" i="15"/>
  <c r="BL39" i="15"/>
  <c r="BL64" i="15"/>
  <c r="BK15" i="15"/>
  <c r="BK57" i="15"/>
  <c r="BJ63" i="15"/>
  <c r="BJ45" i="15"/>
  <c r="BQ19" i="15"/>
  <c r="BQ62" i="15"/>
  <c r="BL19" i="15"/>
  <c r="BJ14" i="15"/>
  <c r="BJ61" i="15"/>
  <c r="BK34" i="15"/>
  <c r="BK37" i="15"/>
  <c r="BL32" i="15"/>
  <c r="BL45" i="15"/>
  <c r="BL60" i="15"/>
  <c r="BQ57" i="15"/>
  <c r="BQ64" i="15"/>
  <c r="BQ63" i="15"/>
  <c r="BL41" i="15"/>
  <c r="BQ61" i="15"/>
  <c r="BN61" i="15"/>
  <c r="T65" i="15"/>
  <c r="BJ65" i="15"/>
  <c r="BJ19" i="15"/>
  <c r="BK62" i="15"/>
  <c r="BN10" i="15"/>
  <c r="BL57" i="15"/>
  <c r="BQ41" i="15"/>
  <c r="BK45" i="15"/>
  <c r="BK9" i="15"/>
  <c r="BL47" i="15"/>
  <c r="BJ62" i="15"/>
  <c r="BL9" i="15"/>
  <c r="BQ47" i="15"/>
  <c r="BN62" i="15"/>
  <c r="BN9" i="15"/>
  <c r="BQ55" i="15"/>
  <c r="BK14" i="15"/>
  <c r="AC68" i="15" l="1"/>
  <c r="AC4" i="15" s="1"/>
  <c r="V65" i="15"/>
  <c r="BS31" i="15"/>
  <c r="AN16" i="15"/>
  <c r="BS16" i="15" s="1"/>
  <c r="BS54" i="15"/>
  <c r="BS46" i="15"/>
  <c r="BS17" i="15"/>
  <c r="BS40" i="15"/>
  <c r="BS56" i="15"/>
  <c r="BS18" i="15"/>
  <c r="BS42" i="15"/>
  <c r="BS44" i="15"/>
  <c r="BS66" i="15"/>
  <c r="BS33" i="15"/>
  <c r="AN13" i="15"/>
  <c r="BS22" i="15"/>
  <c r="BS35" i="15"/>
  <c r="BS8" i="15"/>
  <c r="BS43" i="15"/>
  <c r="AM41" i="15"/>
  <c r="AM55" i="15"/>
  <c r="AM10" i="15"/>
  <c r="AM19" i="15"/>
  <c r="AM15" i="15"/>
  <c r="AM32" i="15"/>
  <c r="AM45" i="15"/>
  <c r="AM14" i="15"/>
  <c r="AM61" i="15"/>
  <c r="AM37" i="15"/>
  <c r="AM57" i="15"/>
  <c r="AM47" i="15"/>
  <c r="AM27" i="15"/>
  <c r="AM34" i="15"/>
  <c r="AM63" i="15"/>
  <c r="AM39" i="15"/>
  <c r="AM60" i="15"/>
  <c r="AM62" i="15"/>
  <c r="T68" i="15"/>
  <c r="BT27" i="15"/>
  <c r="B27" i="15" s="1"/>
  <c r="BT32" i="15"/>
  <c r="B32" i="15" s="1"/>
  <c r="BT60" i="15"/>
  <c r="B60" i="15" s="1"/>
  <c r="BT15" i="15"/>
  <c r="B15" i="15" s="1"/>
  <c r="BT41" i="15"/>
  <c r="B41" i="15" s="1"/>
  <c r="BT34" i="15"/>
  <c r="B34" i="15" s="1"/>
  <c r="BT37" i="15"/>
  <c r="B37" i="15" s="1"/>
  <c r="BT61" i="15"/>
  <c r="B61" i="15" s="1"/>
  <c r="BT10" i="15"/>
  <c r="B10" i="15" s="1"/>
  <c r="BT64" i="15"/>
  <c r="B64" i="15" s="1"/>
  <c r="BT65" i="15"/>
  <c r="B65" i="15" s="1"/>
  <c r="BT55" i="15"/>
  <c r="B55" i="15" s="1"/>
  <c r="BT39" i="15"/>
  <c r="B39" i="15" s="1"/>
  <c r="BT45" i="15"/>
  <c r="B45" i="15" s="1"/>
  <c r="BT63" i="15"/>
  <c r="B63" i="15" s="1"/>
  <c r="BT19" i="15"/>
  <c r="B19" i="15" s="1"/>
  <c r="BT57" i="15"/>
  <c r="B57" i="15" s="1"/>
  <c r="BT14" i="15"/>
  <c r="B14" i="15" s="1"/>
  <c r="BT62" i="15"/>
  <c r="B62" i="15" s="1"/>
  <c r="BT47" i="15"/>
  <c r="B47" i="15" s="1"/>
  <c r="BT9" i="15"/>
  <c r="B9" i="15" s="1"/>
  <c r="AE68" i="15" l="1"/>
  <c r="AE4" i="15" s="1"/>
  <c r="AM64" i="15"/>
  <c r="BS64" i="15" s="1"/>
  <c r="BS63" i="15"/>
  <c r="BS32" i="15"/>
  <c r="BS61" i="15"/>
  <c r="BS57" i="15"/>
  <c r="BS47" i="15"/>
  <c r="BS45" i="15"/>
  <c r="AN15" i="15"/>
  <c r="BS15" i="15" s="1"/>
  <c r="BS41" i="15"/>
  <c r="BS55" i="15"/>
  <c r="BS10" i="15"/>
  <c r="BS39" i="15"/>
  <c r="AN19" i="15"/>
  <c r="BS19" i="15" s="1"/>
  <c r="AN14" i="15"/>
  <c r="BS14" i="15" s="1"/>
  <c r="BS60" i="15"/>
  <c r="AM9" i="15"/>
  <c r="V68" i="15"/>
  <c r="BS13" i="15"/>
  <c r="BS9" i="15" l="1"/>
  <c r="AM65" i="15"/>
  <c r="BS11" i="15"/>
  <c r="BS59" i="15"/>
  <c r="BS26" i="15"/>
  <c r="BS29" i="15"/>
  <c r="BS20" i="15"/>
  <c r="BS34" i="15"/>
  <c r="BS30" i="15"/>
  <c r="BS58" i="15"/>
  <c r="BS62" i="15"/>
  <c r="BS12" i="15"/>
  <c r="BS37" i="15"/>
  <c r="BS50" i="15"/>
  <c r="BS38" i="15"/>
  <c r="BS65" i="15" l="1"/>
  <c r="AM68" i="15"/>
  <c r="AN68" i="15"/>
  <c r="BS27" i="15"/>
  <c r="BS68" i="15" l="1"/>
</calcChain>
</file>

<file path=xl/sharedStrings.xml><?xml version="1.0" encoding="utf-8"?>
<sst xmlns="http://schemas.openxmlformats.org/spreadsheetml/2006/main" count="2193" uniqueCount="1317">
  <si>
    <t>Ref #</t>
  </si>
  <si>
    <t>Total Points</t>
  </si>
  <si>
    <t>Needs Category</t>
  </si>
  <si>
    <t>Comments</t>
  </si>
  <si>
    <t>Project Description</t>
  </si>
  <si>
    <t>Envir. Priority</t>
  </si>
  <si>
    <t>Base Points</t>
  </si>
  <si>
    <t>Green %</t>
  </si>
  <si>
    <t>CA or CO</t>
  </si>
  <si>
    <t>Regulatory Other</t>
  </si>
  <si>
    <t>Success a</t>
  </si>
  <si>
    <t>Success b</t>
  </si>
  <si>
    <t>Success c</t>
  </si>
  <si>
    <t>Success d</t>
  </si>
  <si>
    <t>Success e</t>
  </si>
  <si>
    <t>Success score</t>
  </si>
  <si>
    <t>Co-Fund ?</t>
  </si>
  <si>
    <t>Green points</t>
  </si>
  <si>
    <t>Regulatory points</t>
  </si>
  <si>
    <t>Success points</t>
  </si>
  <si>
    <t>Co-fund points</t>
  </si>
  <si>
    <t>Total Principal Forgiveness</t>
  </si>
  <si>
    <t>Entity and Project Type          (1)</t>
  </si>
  <si>
    <t>Sewer Rate % of MHI</t>
  </si>
  <si>
    <t>(1) 212 is POTW; 319 is NPS; 320 is NPS Estuary</t>
  </si>
  <si>
    <t>Regulatory Score</t>
  </si>
  <si>
    <t>Yes</t>
  </si>
  <si>
    <t>No</t>
  </si>
  <si>
    <t>Willing to Borrow Loan
w/o PF
(Yes/No)</t>
  </si>
  <si>
    <t>Climate Adaptation Plan
(Yes/No)</t>
  </si>
  <si>
    <t>Fiscal Sustainability Plan 
(Yes/No)</t>
  </si>
  <si>
    <t>Green Category
&amp; Case (Cat./Bus.)
(2)</t>
  </si>
  <si>
    <t>Fiscal Sustainability Plan Principal Forgiveness
(4)</t>
  </si>
  <si>
    <t>Climate Adaptation Plan Principal Forgiveness
(5)</t>
  </si>
  <si>
    <t>(2) GI = Green Infrastructure; WE = Water Efficiency; EE = Energy Efficiency; EI = Environmentally Innovative</t>
  </si>
  <si>
    <t>(4) Fiscal Sustainability Plan PF is limited to $50,000 per Applicant</t>
  </si>
  <si>
    <t>MHI **</t>
  </si>
  <si>
    <t>Affordability Principal Forgiveness Points **</t>
  </si>
  <si>
    <t>** Linked to data in Affordability Table</t>
  </si>
  <si>
    <t>Sewer Rate **</t>
  </si>
  <si>
    <t>FWPCA, Section 603(i)(2) - The state shall establish affordability criteria to assist in identifying municipalities that would experience a significant hardship raising the revenue necessary to finance a project or activity eligible for assistance if additional subsidization is not provided.  The criteria shall be based on income and umemployment data, population trends, and other data determined relevant by the State.</t>
  </si>
  <si>
    <t>Indexing: In general the Index = (Town Rate) / State Rate), If Town Rate is below State Rate the result should be &lt; 1.0, if Town Rate is above State Rate the result should be &gt; 1.0.  For criteria where being above the State Rate is not a positive attribute (such as Poverty and Unemployment), this results in a scoring system that gives a higher score to towns that can least afford a project.</t>
  </si>
  <si>
    <t>TR = Town Rate
SR = State Rate</t>
  </si>
  <si>
    <t>PRI=TR/SR</t>
  </si>
  <si>
    <t>II=SR/TR</t>
  </si>
  <si>
    <t>UI=TR/SR</t>
  </si>
  <si>
    <t>PT</t>
  </si>
  <si>
    <t>Possible PF Funding %</t>
  </si>
  <si>
    <t>Median Household Income</t>
  </si>
  <si>
    <t>10-Year Population Trend</t>
  </si>
  <si>
    <t>Sewer User Rate</t>
  </si>
  <si>
    <t>Range: 6.25, 7.50, 8.75, 10.00</t>
  </si>
  <si>
    <t>Point Brackets</t>
  </si>
  <si>
    <t>Entity</t>
  </si>
  <si>
    <t>Poverty Rate
(% of Individuals Below the Poverty Rate)</t>
  </si>
  <si>
    <t>Indexed to State Average</t>
  </si>
  <si>
    <t>MHI</t>
  </si>
  <si>
    <t>Inversely Indexed to State Average</t>
  </si>
  <si>
    <t>Rate</t>
  </si>
  <si>
    <t>Entity Percent Change</t>
  </si>
  <si>
    <t>Range (0 - 3)</t>
  </si>
  <si>
    <t>PI=(SR-TR)/SR
% Change Indexed to State Change</t>
  </si>
  <si>
    <t>Sum of PIUP Points</t>
  </si>
  <si>
    <t>User Cost as Percent of MHI (Points)</t>
  </si>
  <si>
    <t>Affordability Points</t>
  </si>
  <si>
    <t>State</t>
  </si>
  <si>
    <t>Anson CDP</t>
  </si>
  <si>
    <t>Ashland CDP</t>
  </si>
  <si>
    <t>Auburn</t>
  </si>
  <si>
    <t>Augusta</t>
  </si>
  <si>
    <t>Baileyville</t>
  </si>
  <si>
    <t>Bangor</t>
  </si>
  <si>
    <t>Bar Harbor CDP</t>
  </si>
  <si>
    <t>Bath</t>
  </si>
  <si>
    <t>Belfast</t>
  </si>
  <si>
    <t>Benton</t>
  </si>
  <si>
    <t>Berwick CDP</t>
  </si>
  <si>
    <t>Bethel</t>
  </si>
  <si>
    <t>Biddeford</t>
  </si>
  <si>
    <t>Bingham CDP</t>
  </si>
  <si>
    <t>Blue Hill CDP</t>
  </si>
  <si>
    <t>Brewer</t>
  </si>
  <si>
    <t>Bridgton CDP</t>
  </si>
  <si>
    <t>Brownville</t>
  </si>
  <si>
    <t>Brunswick CDP</t>
  </si>
  <si>
    <t>Bucksport CDP</t>
  </si>
  <si>
    <t>Calais</t>
  </si>
  <si>
    <t>Camden CDP</t>
  </si>
  <si>
    <t>Canton</t>
  </si>
  <si>
    <t>Cape Elizabeth - PWD</t>
  </si>
  <si>
    <t>Caribou</t>
  </si>
  <si>
    <t>Carrabassett Valley</t>
  </si>
  <si>
    <t>Cornish</t>
  </si>
  <si>
    <t>Danforth</t>
  </si>
  <si>
    <t>Dexter CDP</t>
  </si>
  <si>
    <t>Dixfield CDP</t>
  </si>
  <si>
    <t>Dover-Foxcroft CDP</t>
  </si>
  <si>
    <t>Eagle Lake CDP</t>
  </si>
  <si>
    <t>East Machias</t>
  </si>
  <si>
    <t>East Millinocket CDP</t>
  </si>
  <si>
    <t>Eastport</t>
  </si>
  <si>
    <t>Eliot</t>
  </si>
  <si>
    <t>Ellsworth</t>
  </si>
  <si>
    <t>Enfield</t>
  </si>
  <si>
    <t>Fairfield CDP</t>
  </si>
  <si>
    <t>Farmington CDP</t>
  </si>
  <si>
    <t>Fort Fairfield CDP</t>
  </si>
  <si>
    <t>Fort Kent CDP</t>
  </si>
  <si>
    <t>Freeport CDP</t>
  </si>
  <si>
    <t>Frenchville</t>
  </si>
  <si>
    <t>Gardiner</t>
  </si>
  <si>
    <t>Gorham CDP - PWD</t>
  </si>
  <si>
    <t>Greenville CDP</t>
  </si>
  <si>
    <t>Guilford CDP</t>
  </si>
  <si>
    <t>Hampden CDP</t>
  </si>
  <si>
    <t>Islesboro</t>
  </si>
  <si>
    <t>Jackman</t>
  </si>
  <si>
    <t>Kennebunk CDP</t>
  </si>
  <si>
    <t>Kennebunkport CDP</t>
  </si>
  <si>
    <t>Kingfield</t>
  </si>
  <si>
    <t>Kittery CDP</t>
  </si>
  <si>
    <t>Lewiston</t>
  </si>
  <si>
    <t>Limerick</t>
  </si>
  <si>
    <t>Lisbon</t>
  </si>
  <si>
    <t>Lubec CDP</t>
  </si>
  <si>
    <t xml:space="preserve">Machias CDP </t>
  </si>
  <si>
    <t>Madawaska CDP</t>
  </si>
  <si>
    <t>Madison CDP</t>
  </si>
  <si>
    <t>Manchester</t>
  </si>
  <si>
    <t>Mapleton CDP</t>
  </si>
  <si>
    <t>Mars Hill CDP</t>
  </si>
  <si>
    <t>Mattawamkeag</t>
  </si>
  <si>
    <t>Mechanic Falls CDP</t>
  </si>
  <si>
    <t>Mexico CDP</t>
  </si>
  <si>
    <t>Milbridge</t>
  </si>
  <si>
    <t>Milford CDP</t>
  </si>
  <si>
    <t>Millinocket CDP</t>
  </si>
  <si>
    <t>Milo CDP</t>
  </si>
  <si>
    <t>Monson</t>
  </si>
  <si>
    <t>Mt. Desert</t>
  </si>
  <si>
    <t>Taxation</t>
  </si>
  <si>
    <t>Newport CDP</t>
  </si>
  <si>
    <t>Norridgewock CDP</t>
  </si>
  <si>
    <t>North Berwick CDP</t>
  </si>
  <si>
    <t>North Haven</t>
  </si>
  <si>
    <t>Northport</t>
  </si>
  <si>
    <t>Norway CDP</t>
  </si>
  <si>
    <t>Oakland CDP</t>
  </si>
  <si>
    <t>Ogunquit</t>
  </si>
  <si>
    <t>Old Town</t>
  </si>
  <si>
    <t>Orono CDP</t>
  </si>
  <si>
    <t>Paris</t>
  </si>
  <si>
    <t>Passamaquoddy Indian Township</t>
  </si>
  <si>
    <t>Passamaquoddy Pleasant Point</t>
  </si>
  <si>
    <t>Patten</t>
  </si>
  <si>
    <t>Penobscot Nation, Indian Island</t>
  </si>
  <si>
    <t>Pittsfield CDP</t>
  </si>
  <si>
    <t>Portland</t>
  </si>
  <si>
    <t>Presque Isle</t>
  </si>
  <si>
    <t>Randolph CDP</t>
  </si>
  <si>
    <t>Rangeley</t>
  </si>
  <si>
    <t>Rockland</t>
  </si>
  <si>
    <t>Rumford CDP</t>
  </si>
  <si>
    <t>Saco</t>
  </si>
  <si>
    <t>Sangerville</t>
  </si>
  <si>
    <t>Scarborough CDP</t>
  </si>
  <si>
    <t>Searsport CDP</t>
  </si>
  <si>
    <t>Sinclair (used St. Agatha's PIUP)</t>
  </si>
  <si>
    <t>Skowhegan CDP</t>
  </si>
  <si>
    <t>Sorrento</t>
  </si>
  <si>
    <t>South Berwick</t>
  </si>
  <si>
    <t>South Portland</t>
  </si>
  <si>
    <t>Southwest Harbor CDP</t>
  </si>
  <si>
    <t>St. Agatha</t>
  </si>
  <si>
    <t>Stonington</t>
  </si>
  <si>
    <t>Thomaston CDP</t>
  </si>
  <si>
    <t>Topsham CDP</t>
  </si>
  <si>
    <t>Unity CDP</t>
  </si>
  <si>
    <t>Van Buren CDP</t>
  </si>
  <si>
    <t>Veazie</t>
  </si>
  <si>
    <t>Verona Island</t>
  </si>
  <si>
    <t>Vinalhaven</t>
  </si>
  <si>
    <t>Waldoboro CDP</t>
  </si>
  <si>
    <t>Warren</t>
  </si>
  <si>
    <t>Washburn CDP</t>
  </si>
  <si>
    <t>Waterville</t>
  </si>
  <si>
    <t>Wells</t>
  </si>
  <si>
    <t>Westbrook - PWD</t>
  </si>
  <si>
    <t>Whitneyville</t>
  </si>
  <si>
    <t>Wilton CDP</t>
  </si>
  <si>
    <t>Winslow CDP</t>
  </si>
  <si>
    <t>Winter Harbor CDP</t>
  </si>
  <si>
    <t>Winterport CDP (2016 Local Survey)</t>
  </si>
  <si>
    <t>Winthrop CDP</t>
  </si>
  <si>
    <t>Wiscasset CDP</t>
  </si>
  <si>
    <t>Yarmouth CDP</t>
  </si>
  <si>
    <t>York</t>
  </si>
  <si>
    <t>Mean</t>
  </si>
  <si>
    <t>Median</t>
  </si>
  <si>
    <t>Mimimum</t>
  </si>
  <si>
    <t>Maximum</t>
  </si>
  <si>
    <t>Standard Deviation (σ)</t>
  </si>
  <si>
    <t>% PF</t>
  </si>
  <si>
    <t>PF Number</t>
  </si>
  <si>
    <t>49 - &lt;50%</t>
  </si>
  <si>
    <t>Total of Indexed Points for the 5 criteria for the State Average is 5 x 1.0 = 5.0</t>
  </si>
  <si>
    <t>50 - &lt;60%</t>
  </si>
  <si>
    <t>Number of Entities with Total Points Less than 125% of State =</t>
  </si>
  <si>
    <t>60 - &lt;70%</t>
  </si>
  <si>
    <t>&gt;= 25% difference from State Average</t>
  </si>
  <si>
    <t>Number of Entities with Total Points Greater than 125% of State =</t>
  </si>
  <si>
    <t>70 - &lt;80%</t>
  </si>
  <si>
    <t>&gt;= 40% difference from State Average</t>
  </si>
  <si>
    <t>Number of Entities with Total Points Greater than 140% of State =</t>
  </si>
  <si>
    <t>80 - &lt;90%</t>
  </si>
  <si>
    <t>&gt;= 50% difference from State Average</t>
  </si>
  <si>
    <t>Number of Entities with Total Points Greater than 175% of State =</t>
  </si>
  <si>
    <t>90 - &lt;100%</t>
  </si>
  <si>
    <t>Number of Entities with Total Points Greater than 200% of State =</t>
  </si>
  <si>
    <t>Total Number of Entities</t>
  </si>
  <si>
    <t>Average % PF</t>
  </si>
  <si>
    <t>*Poverty Rate - Poverty Rate is calculated on household income and number of people in household.  If household income is below poverty level, all household members are counted as below the poverty rate.</t>
  </si>
  <si>
    <t xml:space="preserve">*MHI - MHI mid-range is ± 25% of Mean, percentages outside of this range are considered either Weak or Stong.  (Source:  EPA - CSO Guidance for Financial Capability Assessment and Schedule Development, 1997) </t>
  </si>
  <si>
    <t>*User Cost from Saco's April 2015 Rate Survey</t>
  </si>
  <si>
    <t>*User Cost from 2013 MRWA Wastewater Rate Survey</t>
  </si>
  <si>
    <t>*User Cost from other sources</t>
  </si>
  <si>
    <t>Monmouth</t>
  </si>
  <si>
    <t>Total Green Project Reserve     (Project+CAP Costs)</t>
  </si>
  <si>
    <t xml:space="preserve">Sanford </t>
  </si>
  <si>
    <t>2018 Post Construction Sewer Rate</t>
  </si>
  <si>
    <t>Fiscal Sustainability</t>
  </si>
  <si>
    <t>Climate Adaptation</t>
  </si>
  <si>
    <t>Applicant's 'Project' Green Project Reserve (GPR) Cost</t>
  </si>
  <si>
    <t>Additional FSP Borrowing Beyond 'Project'</t>
  </si>
  <si>
    <t>Estimated Total 'Project' Cost
(Excludes
FSP &amp; CAP)</t>
  </si>
  <si>
    <t>Co-Funded 'Project' Cost From Other Funding Sources</t>
  </si>
  <si>
    <t>CWSRF 'Project' Funding</t>
  </si>
  <si>
    <t>2019 Post Construction Sewer Rate</t>
  </si>
  <si>
    <t>LDA - Use Limestone CDP</t>
  </si>
  <si>
    <t>Lincoln CDP</t>
  </si>
  <si>
    <t>Rockport</t>
  </si>
  <si>
    <t>Regional
?</t>
  </si>
  <si>
    <t>Linked</t>
  </si>
  <si>
    <t>Left Poverty Rate, MHI &amp; Unemployment as is.</t>
  </si>
  <si>
    <t xml:space="preserve">Affordability Analysis Table </t>
  </si>
  <si>
    <t>Poverty Rate - All People</t>
  </si>
  <si>
    <t>Unemployed</t>
  </si>
  <si>
    <r>
      <t>Pts</t>
    </r>
    <r>
      <rPr>
        <vertAlign val="superscript"/>
        <sz val="11"/>
        <color rgb="FF000000"/>
        <rFont val="Calibri"/>
        <family val="2"/>
      </rPr>
      <t>2</t>
    </r>
    <r>
      <rPr>
        <sz val="10"/>
        <rFont val="Arial"/>
        <family val="2"/>
      </rPr>
      <t>/100, plus 25%</t>
    </r>
  </si>
  <si>
    <r>
      <t>Pts</t>
    </r>
    <r>
      <rPr>
        <vertAlign val="superscript"/>
        <sz val="11"/>
        <color rgb="FF000000"/>
        <rFont val="Calibri"/>
        <family val="2"/>
      </rPr>
      <t>2</t>
    </r>
    <r>
      <rPr>
        <sz val="10"/>
        <rFont val="Arial"/>
        <family val="2"/>
      </rPr>
      <t>/100, plus 40%</t>
    </r>
  </si>
  <si>
    <t>Anson CDP, Maine</t>
  </si>
  <si>
    <t>Anson-Madison SD (Anson plus Madison)</t>
  </si>
  <si>
    <t>Ashland CDP, Maine</t>
  </si>
  <si>
    <t>Bar Harbor CDP, Maine</t>
  </si>
  <si>
    <t>Berwick CDP, Maine</t>
  </si>
  <si>
    <t>Blue Hill CDP, Maine</t>
  </si>
  <si>
    <t>Boothbay Harbor CDP, Maine</t>
  </si>
  <si>
    <t>Bridgton CDP, Maine</t>
  </si>
  <si>
    <t>Brunswick CDP, Maine</t>
  </si>
  <si>
    <t>Bucksport CDP, Maine</t>
  </si>
  <si>
    <t>Campden CDP, Maine</t>
  </si>
  <si>
    <t>Castine CDP, Maine - no MHI, P - 20.9%, U - 0.9%, Used Town Wide Data</t>
  </si>
  <si>
    <t>Clinton CDP, Maine</t>
  </si>
  <si>
    <t>Damariscotta CDP</t>
  </si>
  <si>
    <t>Damariscotta CDP, Maine</t>
  </si>
  <si>
    <t>Dexter CDP, Maine</t>
  </si>
  <si>
    <t>Dixfield CDP, Maine</t>
  </si>
  <si>
    <t>Dover-Foxcroft CDP, Maine</t>
  </si>
  <si>
    <t>East Millinocket CDP, Maine</t>
  </si>
  <si>
    <t>Fairfield CDP. Maine</t>
  </si>
  <si>
    <t>Falmouth CDP</t>
  </si>
  <si>
    <t>Falmouth CDP. Maine</t>
  </si>
  <si>
    <t>Farmington, CDP, Maine</t>
  </si>
  <si>
    <t>Fort Fairfield CDP, Maine</t>
  </si>
  <si>
    <t>Fort Kent CDP, Maine</t>
  </si>
  <si>
    <t>Gorham CDP, Maine</t>
  </si>
  <si>
    <t>Greenville CDP, Maine</t>
  </si>
  <si>
    <t>Guilford CDP, Maine</t>
  </si>
  <si>
    <t>Hampden CDP, Maine</t>
  </si>
  <si>
    <t>Houlton CDP, Maine</t>
  </si>
  <si>
    <t>Jay</t>
  </si>
  <si>
    <t>Kittery CDP, Maine</t>
  </si>
  <si>
    <t>Lincoln CDP, Maine</t>
  </si>
  <si>
    <t>Lincolnville</t>
  </si>
  <si>
    <t>Lubec CDP, Maine</t>
  </si>
  <si>
    <t>Machais CDP, Maine</t>
  </si>
  <si>
    <t>Madawaska CDP, Maine</t>
  </si>
  <si>
    <t>Madison CDP, Maine</t>
  </si>
  <si>
    <t>Mars Hill CDP, Maine</t>
  </si>
  <si>
    <t>Mechanic Falls CDP, Maine</t>
  </si>
  <si>
    <t>Mexico CDP, Maine</t>
  </si>
  <si>
    <t>Milford CDP, Maine</t>
  </si>
  <si>
    <t>Milo CDP, Maine</t>
  </si>
  <si>
    <t>Newport CDP, Maine</t>
  </si>
  <si>
    <t>Norridgewock CDP, Maine</t>
  </si>
  <si>
    <t>North Berwick CDP, Maine</t>
  </si>
  <si>
    <t>Norway CDP, Maine</t>
  </si>
  <si>
    <t>Oakland CDP, Maine</t>
  </si>
  <si>
    <t>Old Orchard Beach CDP</t>
  </si>
  <si>
    <t>Old Orchard Beach CDP, Maine</t>
  </si>
  <si>
    <t>Orono CDP, Maine</t>
  </si>
  <si>
    <r>
      <t xml:space="preserve">Oxford </t>
    </r>
    <r>
      <rPr>
        <strike/>
        <sz val="11"/>
        <color rgb="FF000000"/>
        <rFont val="Calibri"/>
        <family val="2"/>
      </rPr>
      <t>CDP</t>
    </r>
  </si>
  <si>
    <t>Oxford CDP, Maine - No MHI data, P - 38.7%, U - 6.1%</t>
  </si>
  <si>
    <t>Pittsfield CDP, Maine</t>
  </si>
  <si>
    <t>Randolph CDP, Maine</t>
  </si>
  <si>
    <t>Rumford CDP, Maine</t>
  </si>
  <si>
    <t>Scarborough CDP, Maine</t>
  </si>
  <si>
    <t>Skowhegan CDP, Maine</t>
  </si>
  <si>
    <t>Southwest Harbor CDP, Maine</t>
  </si>
  <si>
    <t>Thomaston CDP, Maine</t>
  </si>
  <si>
    <t>Topsham CDP, Maine</t>
  </si>
  <si>
    <t>Unity CDP, Maine</t>
  </si>
  <si>
    <t>Van Buren CDP, Maine</t>
  </si>
  <si>
    <t>Vassalboro</t>
  </si>
  <si>
    <t>Waldoboro CDP, Maine</t>
  </si>
  <si>
    <t>Washburn CDP, Maine</t>
  </si>
  <si>
    <t>Wilton CDP, Maine</t>
  </si>
  <si>
    <t>Windham</t>
  </si>
  <si>
    <t>Winter Harbor CDP, Maine</t>
  </si>
  <si>
    <t>Winthrop CDP, Maine</t>
  </si>
  <si>
    <t>Wiscasset CDP, Maine</t>
  </si>
  <si>
    <t>Yarmouth CDP, Maine</t>
  </si>
  <si>
    <t>2/3 of the population will fall w/in plus or minus 1 SD of the mean</t>
  </si>
  <si>
    <r>
      <t xml:space="preserve">Number of Entities with User Cost </t>
    </r>
    <r>
      <rPr>
        <b/>
        <sz val="11"/>
        <color rgb="FF000000"/>
        <rFont val="Calibri"/>
        <family val="2"/>
      </rPr>
      <t>≥ 2.0% of MHI</t>
    </r>
  </si>
  <si>
    <r>
      <t xml:space="preserve">*Unemployment Rate - The norm is considered to be the State Mean, </t>
    </r>
    <r>
      <rPr>
        <sz val="11"/>
        <color rgb="FF000000"/>
        <rFont val="Calibri"/>
        <family val="2"/>
      </rPr>
      <t>± 1%.  However,  c</t>
    </r>
    <r>
      <rPr>
        <sz val="10"/>
        <rFont val="Arial"/>
        <family val="2"/>
      </rPr>
      <t>ommunities with unemployment rates greater than 10%  "… are all-but-certain to be experiencing significant distress …" (Source: WEF Affordabililty Assessment Tool for Federal Water Mandates, 2013)</t>
    </r>
  </si>
  <si>
    <t>Hermon</t>
  </si>
  <si>
    <t>2020 Post Construction Sewer Rate</t>
  </si>
  <si>
    <t>2017 Post Construction Sewer Rate</t>
  </si>
  <si>
    <t>Estimated Construction Start</t>
  </si>
  <si>
    <t>Chronic SSO Score</t>
  </si>
  <si>
    <t>Chronic SSO1</t>
  </si>
  <si>
    <t>Chronic SSO2</t>
  </si>
  <si>
    <t>Chronic SSO3</t>
  </si>
  <si>
    <t>Chronic SSO4</t>
  </si>
  <si>
    <t>Affordability Principal Forgiveness (Base)
(3)</t>
  </si>
  <si>
    <t>Affordability Principal Forgiveness (Supp)
(3)</t>
  </si>
  <si>
    <t>Affordability Principal Forgiveness Percentage (Base)</t>
  </si>
  <si>
    <t>Maine</t>
  </si>
  <si>
    <t>Howland</t>
  </si>
  <si>
    <t>Supplemental</t>
  </si>
  <si>
    <t>Base</t>
  </si>
  <si>
    <t>Hallowell</t>
  </si>
  <si>
    <t>Margin of Error</t>
  </si>
  <si>
    <t>Mapleton CDP, Maine (RCAP Survey 1/22)</t>
  </si>
  <si>
    <t>LAWPCA</t>
  </si>
  <si>
    <t>Guilford-Sangerville SD</t>
  </si>
  <si>
    <t>Guilford: 300k pgd(95%), Sangerville: 16k gpd(5%)</t>
  </si>
  <si>
    <t>Actual</t>
  </si>
  <si>
    <t xml:space="preserve">Subject to Change Based on Final Allotments </t>
  </si>
  <si>
    <t>Offer Replies</t>
  </si>
  <si>
    <t xml:space="preserve">Offer Replies </t>
  </si>
  <si>
    <t>Total
Assistance
Provided</t>
  </si>
  <si>
    <t>DEP
Engineer</t>
  </si>
  <si>
    <t>Received
Application</t>
  </si>
  <si>
    <t>Useful Life Certification
(Date/Years)</t>
  </si>
  <si>
    <t>Project Authorization Complete</t>
  </si>
  <si>
    <t>MMBB Board
Approval</t>
  </si>
  <si>
    <t>Loan Action
Date</t>
  </si>
  <si>
    <t>D-B
&amp;
AIS
Req'd.</t>
  </si>
  <si>
    <t>FSP
Req'd.</t>
  </si>
  <si>
    <t>FSP
Agreement  Date
(Self-Cert.
or
Loan Cert.)</t>
  </si>
  <si>
    <t>FSP
Loan
Cert. Date</t>
  </si>
  <si>
    <t>FSP
Cert.
 Rcvd. Date</t>
  </si>
  <si>
    <t>Cost
&amp; 
Effec.
Req'd.</t>
  </si>
  <si>
    <t>Cost
&amp;
Effec.
Cert.
Rcvd.</t>
  </si>
  <si>
    <t>A/E
Selection
No. of Loans</t>
  </si>
  <si>
    <t>Non-Equiv.
A/E
Selection
Loan
Amount</t>
  </si>
  <si>
    <t>Equivalency A/E Selection
Loan For FFATA
Reporting</t>
  </si>
  <si>
    <t>Project Number</t>
  </si>
  <si>
    <t>Totals</t>
  </si>
  <si>
    <t xml:space="preserve">Comments </t>
  </si>
  <si>
    <r>
      <t>Pts</t>
    </r>
    <r>
      <rPr>
        <vertAlign val="superscript"/>
        <sz val="11"/>
        <color rgb="FF000000"/>
        <rFont val="Calibri"/>
        <family val="2"/>
      </rPr>
      <t>2</t>
    </r>
    <r>
      <rPr>
        <sz val="10"/>
        <rFont val="Arial"/>
        <family val="2"/>
      </rPr>
      <t>/100, plus 50%</t>
    </r>
  </si>
  <si>
    <t>Boothbay Harbor</t>
  </si>
  <si>
    <t>Castine</t>
  </si>
  <si>
    <t>Clinton</t>
  </si>
  <si>
    <t>Corinna CDP</t>
  </si>
  <si>
    <t>Cumberland CDP-PWD</t>
  </si>
  <si>
    <t>Grand Isle CDP</t>
  </si>
  <si>
    <t>Hamlin</t>
  </si>
  <si>
    <t>Used Van Buren's CDP MHI due to proximity to Hamlin.</t>
  </si>
  <si>
    <t xml:space="preserve">Hartland </t>
  </si>
  <si>
    <t xml:space="preserve">Houlton </t>
  </si>
  <si>
    <t>Income survey for continuing project.</t>
  </si>
  <si>
    <t xml:space="preserve">Livermore Falls </t>
  </si>
  <si>
    <t>Previous income survey data from 2020 IUP</t>
  </si>
  <si>
    <t>North Windham CDP - PWD</t>
  </si>
  <si>
    <t>Richmond</t>
  </si>
  <si>
    <t>Sabattus CDP</t>
  </si>
  <si>
    <t>Turner (MSAD #52) CDP</t>
  </si>
  <si>
    <t>2022 Post Construction Sewer Rates</t>
  </si>
  <si>
    <t>2023 Post Construction Sewer Rates</t>
  </si>
  <si>
    <t xml:space="preserve">Median Household Income </t>
  </si>
  <si>
    <t>Population Estimates</t>
  </si>
  <si>
    <t>Geographic Area Name</t>
  </si>
  <si>
    <t>% Change</t>
  </si>
  <si>
    <t>Abbot town, Piscataquis County, Maine</t>
  </si>
  <si>
    <t>Acton town, York County, Maine</t>
  </si>
  <si>
    <t>Addison town, Washington County, Maine</t>
  </si>
  <si>
    <t>Albion town, Kennebec County, Maine</t>
  </si>
  <si>
    <t>Alexander town, Washington County, Maine</t>
  </si>
  <si>
    <t>Allagash town, Aroostook County, Maine</t>
  </si>
  <si>
    <t>Alna town, Lincoln County, Maine</t>
  </si>
  <si>
    <t>Alton town, Penobscot County, Maine</t>
  </si>
  <si>
    <t>Amherst town, Hancock County, Maine</t>
  </si>
  <si>
    <t>Amity town, Aroostook County, Maine</t>
  </si>
  <si>
    <t>Andover town, Oxford County, Maine</t>
  </si>
  <si>
    <t>Anson town, Somerset County, Maine</t>
  </si>
  <si>
    <t>Appleton town, Knox County, Maine</t>
  </si>
  <si>
    <t>Argyle UT, Penobscot County, Maine</t>
  </si>
  <si>
    <t>Arrowsic town, Sagadahoc County, Maine</t>
  </si>
  <si>
    <t>Arundel town, York County, Maine</t>
  </si>
  <si>
    <t>Athens town, Somerset County, Maine</t>
  </si>
  <si>
    <t>Auburn city, Androscoggin County, Maine</t>
  </si>
  <si>
    <t>Augusta city, Kennebec County, Maine</t>
  </si>
  <si>
    <t>Aurora town, Hancock County, Maine</t>
  </si>
  <si>
    <t>Avon town, Franklin County, Maine</t>
  </si>
  <si>
    <t>Baileyville town, Washington County, Maine</t>
  </si>
  <si>
    <t>Baldwin town, Cumberland County, Maine</t>
  </si>
  <si>
    <t>Bancroft UT, Aroostook County, Maine</t>
  </si>
  <si>
    <t>Baring plantation, Washington County, Maine</t>
  </si>
  <si>
    <t>Bath city, Sagadahoc County, Maine</t>
  </si>
  <si>
    <t>Beals town, Washington County, Maine</t>
  </si>
  <si>
    <t>Beaver Cove town, Piscataquis County, Maine</t>
  </si>
  <si>
    <t>Beddington town, Washington County, Maine</t>
  </si>
  <si>
    <t>Belfast city, Waldo County, Maine</t>
  </si>
  <si>
    <t>Belgrade town, Kennebec County, Maine</t>
  </si>
  <si>
    <t>Belmont town, Waldo County, Maine</t>
  </si>
  <si>
    <t>Benton town, Kennebec County, Maine</t>
  </si>
  <si>
    <t>Biddeford city, York County, Maine</t>
  </si>
  <si>
    <t>Blaine town, Aroostook County, Maine</t>
  </si>
  <si>
    <t>Blanchard UT, Piscataquis County, Maine</t>
  </si>
  <si>
    <t>Boothbay town, Lincoln County, Maine</t>
  </si>
  <si>
    <t>Bowdoin town, Sagadahoc County, Maine</t>
  </si>
  <si>
    <t>Bowerbank town, Piscataquis County, Maine</t>
  </si>
  <si>
    <t>Bradford town, Penobscot County, Maine</t>
  </si>
  <si>
    <t>Bremen town, Lincoln County, Maine</t>
  </si>
  <si>
    <t>Brewer city, Penobscot County, Maine</t>
  </si>
  <si>
    <t>Bridgewater town, Aroostook County, Maine</t>
  </si>
  <si>
    <t>Brighton plantation, Somerset County, Maine</t>
  </si>
  <si>
    <t>Bristol town, Lincoln County, Maine</t>
  </si>
  <si>
    <t>Brooklin town, Hancock County, Maine</t>
  </si>
  <si>
    <t>Brooks town, Waldo County, Maine</t>
  </si>
  <si>
    <t>Brooksville town, Hancock County, Maine</t>
  </si>
  <si>
    <t>Brownfield town, Oxford County, Maine</t>
  </si>
  <si>
    <t>Brownville town, Piscataquis County, Maine</t>
  </si>
  <si>
    <t>Buckfield town, Oxford County, Maine</t>
  </si>
  <si>
    <t>Burlington town, Penobscot County, Maine</t>
  </si>
  <si>
    <t>Burnham town, Waldo County, Maine</t>
  </si>
  <si>
    <t>Buxton town, York County, Maine</t>
  </si>
  <si>
    <t>Byron town, Oxford County, Maine</t>
  </si>
  <si>
    <t>Calais city, Washington County, Maine</t>
  </si>
  <si>
    <t>Cambridge town, Somerset County, Maine</t>
  </si>
  <si>
    <t>Canaan town, Somerset County, Maine</t>
  </si>
  <si>
    <t>Canton town, Oxford County, Maine</t>
  </si>
  <si>
    <t>Cape Elizabeth town, Cumberland County, Maine</t>
  </si>
  <si>
    <t>Caratunk town, Somerset County, Maine</t>
  </si>
  <si>
    <t>Caribou city, Aroostook County, Maine</t>
  </si>
  <si>
    <t>Carmel town, Penobscot County, Maine</t>
  </si>
  <si>
    <t>Carrabassett Valley town, Franklin County, Maine</t>
  </si>
  <si>
    <t>Carroll plantation, Penobscot County, Maine</t>
  </si>
  <si>
    <t>Carthage town, Franklin County, Maine</t>
  </si>
  <si>
    <t>Casco town, Cumberland County, Maine</t>
  </si>
  <si>
    <t>Castine town, Hancock County, Maine</t>
  </si>
  <si>
    <t>Castle Hill town, Aroostook County, Maine</t>
  </si>
  <si>
    <t>Caswell town, Aroostook County, Maine</t>
  </si>
  <si>
    <t>Central Hancock UT, Hancock County, Maine</t>
  </si>
  <si>
    <t>Central Somerset UT, Somerset County, Maine</t>
  </si>
  <si>
    <t>Chapman town, Aroostook County, Maine</t>
  </si>
  <si>
    <t>Charleston town, Penobscot County, Maine</t>
  </si>
  <si>
    <t>Charlotte town, Washington County, Maine</t>
  </si>
  <si>
    <t>Chebeague Island town, Cumberland County, Maine</t>
  </si>
  <si>
    <t>Chelsea town, Kennebec County, Maine</t>
  </si>
  <si>
    <t>Cherryfield town, Washington County, Maine</t>
  </si>
  <si>
    <t>Chester town, Penobscot County, Maine</t>
  </si>
  <si>
    <t>Chesterville town, Franklin County, Maine</t>
  </si>
  <si>
    <t>China town, Kennebec County, Maine</t>
  </si>
  <si>
    <t>Clifton town, Penobscot County, Maine</t>
  </si>
  <si>
    <t>Codyville plantation, Washington County, Maine</t>
  </si>
  <si>
    <t>Columbia Falls town, Washington County, Maine</t>
  </si>
  <si>
    <t>Columbia town, Washington County, Maine</t>
  </si>
  <si>
    <t>Connor UT, Aroostook County, Maine</t>
  </si>
  <si>
    <t>Cooper town, Washington County, Maine</t>
  </si>
  <si>
    <t>Coplin plantation, Franklin County, Maine</t>
  </si>
  <si>
    <t>Corinth town, Penobscot County, Maine</t>
  </si>
  <si>
    <t>Cornville town, Somerset County, Maine</t>
  </si>
  <si>
    <t>Cranberry Isles town, Hancock County, Maine</t>
  </si>
  <si>
    <t>Crawford town, Washington County, Maine</t>
  </si>
  <si>
    <t>Crystal town, Aroostook County, Maine</t>
  </si>
  <si>
    <t>Cumberland town, Cumberland County, Maine</t>
  </si>
  <si>
    <t>Cushing town, Knox County, Maine</t>
  </si>
  <si>
    <t>Cutler town, Washington County, Maine</t>
  </si>
  <si>
    <t>Cyr plantation, Aroostook County, Maine</t>
  </si>
  <si>
    <t>Dallas plantation, Franklin County, Maine</t>
  </si>
  <si>
    <t>Dayton town, York County, Maine</t>
  </si>
  <si>
    <t>Deblois town, Washington County, Maine</t>
  </si>
  <si>
    <t>Dedham town, Hancock County, Maine</t>
  </si>
  <si>
    <t>Deer Isle town, Hancock County, Maine</t>
  </si>
  <si>
    <t>Denmark town, Oxford County, Maine</t>
  </si>
  <si>
    <t>Dennistown plantation, Somerset County, Maine</t>
  </si>
  <si>
    <t>Dennysville town, Washington County, Maine</t>
  </si>
  <si>
    <t>Detroit town, Somerset County, Maine</t>
  </si>
  <si>
    <t>Dixmont town, Penobscot County, Maine</t>
  </si>
  <si>
    <t>Dresden town, Lincoln County, Maine</t>
  </si>
  <si>
    <t>Drew plantation, Penobscot County, Maine</t>
  </si>
  <si>
    <t>Durham town, Androscoggin County, Maine</t>
  </si>
  <si>
    <t>Dyer Brook town, Aroostook County, Maine</t>
  </si>
  <si>
    <t>Eagle Lake town, Aroostook County, Maine</t>
  </si>
  <si>
    <t>East Central Franklin UT, Franklin County, Maine</t>
  </si>
  <si>
    <t>East Central Penobscot UT, Penobscot County, Maine</t>
  </si>
  <si>
    <t>East Central Washington UT, Washington County, Maine</t>
  </si>
  <si>
    <t>East Hancock UT, Hancock County, Maine</t>
  </si>
  <si>
    <t>East Machias town, Washington County, Maine</t>
  </si>
  <si>
    <t>Eastbrook town, Hancock County, Maine</t>
  </si>
  <si>
    <t>Easton town, Aroostook County, Maine</t>
  </si>
  <si>
    <t>Eastport city, Washington County, Maine</t>
  </si>
  <si>
    <t>Eddington town, Penobscot County, Maine</t>
  </si>
  <si>
    <t>Edgecomb town, Lincoln County, Maine</t>
  </si>
  <si>
    <t>Edinburg town, Penobscot County, Maine</t>
  </si>
  <si>
    <t>Eliot town, York County, Maine</t>
  </si>
  <si>
    <t>Ellsworth city, Hancock County, Maine</t>
  </si>
  <si>
    <t>Embden town, Somerset County, Maine</t>
  </si>
  <si>
    <t>Enfield town, Penobscot County, Maine</t>
  </si>
  <si>
    <t>Etna town, Penobscot County, Maine</t>
  </si>
  <si>
    <t>Eustis town, Franklin County, Maine</t>
  </si>
  <si>
    <t>Exeter town, Penobscot County, Maine</t>
  </si>
  <si>
    <t>Fayette town, Kennebec County, Maine</t>
  </si>
  <si>
    <t>Frankfort town, Waldo County, Maine</t>
  </si>
  <si>
    <t>Franklin town, Hancock County, Maine</t>
  </si>
  <si>
    <t>Freedom town, Waldo County, Maine</t>
  </si>
  <si>
    <t>Frenchville town, Aroostook County, Maine</t>
  </si>
  <si>
    <t>Friendship town, Knox County, Maine</t>
  </si>
  <si>
    <t>Frye Island town, Cumberland County, Maine</t>
  </si>
  <si>
    <t>Gardiner city, Kennebec County, Maine</t>
  </si>
  <si>
    <t>Garfield plantation, Aroostook County, Maine</t>
  </si>
  <si>
    <t>Garland town, Penobscot County, Maine</t>
  </si>
  <si>
    <t>Georgetown town, Sagadahoc County, Maine</t>
  </si>
  <si>
    <t>Gilead town, Oxford County, Maine</t>
  </si>
  <si>
    <t>Glenburn town, Penobscot County, Maine</t>
  </si>
  <si>
    <t>Gouldsboro town, Hancock County, Maine</t>
  </si>
  <si>
    <t>Grand Lake Stream plantation, Washington County, Maine</t>
  </si>
  <si>
    <t>Great Pond town, Hancock County, Maine</t>
  </si>
  <si>
    <t>Greenbush town, Penobscot County, Maine</t>
  </si>
  <si>
    <t>Greene town, Androscoggin County, Maine</t>
  </si>
  <si>
    <t>Greenwood town, Oxford County, Maine</t>
  </si>
  <si>
    <t>Hallowell city, Kennebec County, Maine</t>
  </si>
  <si>
    <t>Hamlin town, Aroostook County, Maine</t>
  </si>
  <si>
    <t>Hammond town, Aroostook County, Maine</t>
  </si>
  <si>
    <t>Hancock town, Hancock County, Maine</t>
  </si>
  <si>
    <t>Hanover town, Oxford County, Maine</t>
  </si>
  <si>
    <t>Harmony town, Somerset County, Maine</t>
  </si>
  <si>
    <t>Harpswell town, Cumberland County, Maine</t>
  </si>
  <si>
    <t>Harrington town, Washington County, Maine</t>
  </si>
  <si>
    <t>Harrison town, Cumberland County, Maine</t>
  </si>
  <si>
    <t>Hartford town, Oxford County, Maine</t>
  </si>
  <si>
    <t>Haynesville town, Aroostook County, Maine</t>
  </si>
  <si>
    <t>Hebron town, Oxford County, Maine</t>
  </si>
  <si>
    <t>Hermon town, Penobscot County, Maine</t>
  </si>
  <si>
    <t>Hersey town, Aroostook County, Maine</t>
  </si>
  <si>
    <t>Highland plantation, Somerset County, Maine</t>
  </si>
  <si>
    <t>Hiram town, Oxford County, Maine</t>
  </si>
  <si>
    <t>Hodgdon town, Aroostook County, Maine</t>
  </si>
  <si>
    <t>Holden town, Penobscot County, Maine</t>
  </si>
  <si>
    <t>Hollis town, York County, Maine</t>
  </si>
  <si>
    <t>Hope town, Knox County, Maine</t>
  </si>
  <si>
    <t>Houlton town, Aroostook County, Maine</t>
  </si>
  <si>
    <t>Hudson town, Penobscot County, Maine</t>
  </si>
  <si>
    <t>Industry town, Franklin County, Maine</t>
  </si>
  <si>
    <t>Islesboro town, Waldo County, Maine</t>
  </si>
  <si>
    <t>Jackman town, Somerset County, Maine</t>
  </si>
  <si>
    <t>Jackson town, Waldo County, Maine</t>
  </si>
  <si>
    <t>Jay town, Franklin County, Maine</t>
  </si>
  <si>
    <t>Jefferson town, Lincoln County, Maine</t>
  </si>
  <si>
    <t>Jonesboro town, Washington County, Maine</t>
  </si>
  <si>
    <t>Kenduskeag town, Penobscot County, Maine</t>
  </si>
  <si>
    <t>Kingman UT, Penobscot County, Maine</t>
  </si>
  <si>
    <t>Knox town, Waldo County, Maine</t>
  </si>
  <si>
    <t>Lagrange town, Penobscot County, Maine</t>
  </si>
  <si>
    <t>Lakeville town, Penobscot County, Maine</t>
  </si>
  <si>
    <t>Lamoine town, Hancock County, Maine</t>
  </si>
  <si>
    <t>Lebanon town, York County, Maine</t>
  </si>
  <si>
    <t>Lee town, Penobscot County, Maine</t>
  </si>
  <si>
    <t>Leeds town, Androscoggin County, Maine</t>
  </si>
  <si>
    <t>Levant town, Penobscot County, Maine</t>
  </si>
  <si>
    <t>Lewiston city, Androscoggin County, Maine</t>
  </si>
  <si>
    <t>Liberty town, Waldo County, Maine</t>
  </si>
  <si>
    <t>Limerick town, York County, Maine</t>
  </si>
  <si>
    <t>Limington town, York County, Maine</t>
  </si>
  <si>
    <t>Lincoln plantation, Oxford County, Maine</t>
  </si>
  <si>
    <t>Lincolnville town, Waldo County, Maine</t>
  </si>
  <si>
    <t>Linneus town, Aroostook County, Maine</t>
  </si>
  <si>
    <t>Litchfield town, Kennebec County, Maine</t>
  </si>
  <si>
    <t>Littleton town, Aroostook County, Maine</t>
  </si>
  <si>
    <t>Livermore Falls town, Androscoggin County, Maine</t>
  </si>
  <si>
    <t>Livermore town, Androscoggin County, Maine</t>
  </si>
  <si>
    <t>Long Island town, Cumberland County, Maine</t>
  </si>
  <si>
    <t>Lovell town, Oxford County, Maine</t>
  </si>
  <si>
    <t>Lowell town, Penobscot County, Maine</t>
  </si>
  <si>
    <t>Ludlow town, Aroostook County, Maine</t>
  </si>
  <si>
    <t>Lyman town, York County, Maine</t>
  </si>
  <si>
    <t>Machiasport town, Washington County, Maine</t>
  </si>
  <si>
    <t>Macwahoc plantation, Aroostook County, Maine</t>
  </si>
  <si>
    <t>Madawaska town, Aroostook County, Maine</t>
  </si>
  <si>
    <t>Manchester town, Kennebec County, Maine</t>
  </si>
  <si>
    <t>Mariaville town, Hancock County, Maine</t>
  </si>
  <si>
    <t>Marshfield town, Washington County, Maine</t>
  </si>
  <si>
    <t>Masardis town, Aroostook County, Maine</t>
  </si>
  <si>
    <t>Matinicus Isle plantation, Knox County, Maine</t>
  </si>
  <si>
    <t>Maxfield town, Penobscot County, Maine</t>
  </si>
  <si>
    <t>Meddybemps town, Washington County, Maine</t>
  </si>
  <si>
    <t>Medford town, Piscataquis County, Maine</t>
  </si>
  <si>
    <t>Medway town, Penobscot County, Maine</t>
  </si>
  <si>
    <t>Mercer town, Somerset County, Maine</t>
  </si>
  <si>
    <t>Merrill town, Aroostook County, Maine</t>
  </si>
  <si>
    <t>Milton UT, Oxford County, Maine</t>
  </si>
  <si>
    <t>Minot town, Androscoggin County, Maine</t>
  </si>
  <si>
    <t>Monmouth town, Kennebec County, Maine</t>
  </si>
  <si>
    <t>Monroe town, Waldo County, Maine</t>
  </si>
  <si>
    <t>Monson town, Piscataquis County, Maine</t>
  </si>
  <si>
    <t>Monticello town, Aroostook County, Maine</t>
  </si>
  <si>
    <t>Montville town, Waldo County, Maine</t>
  </si>
  <si>
    <t>Moose River town, Somerset County, Maine</t>
  </si>
  <si>
    <t>Morrill town, Waldo County, Maine</t>
  </si>
  <si>
    <t>Moscow town, Somerset County, Maine</t>
  </si>
  <si>
    <t>Mount Chase town, Penobscot County, Maine</t>
  </si>
  <si>
    <t>Mount Desert town, Hancock County, Maine</t>
  </si>
  <si>
    <t>Mount Vernon town, Kennebec County, Maine</t>
  </si>
  <si>
    <t>Nashville plantation, Aroostook County, Maine</t>
  </si>
  <si>
    <t>New Canada town, Aroostook County, Maine</t>
  </si>
  <si>
    <t>New Gloucester town, Cumberland County, Maine</t>
  </si>
  <si>
    <t>New Limerick town, Aroostook County, Maine</t>
  </si>
  <si>
    <t>New Portland town, Somerset County, Maine</t>
  </si>
  <si>
    <t>New Sharon town, Franklin County, Maine</t>
  </si>
  <si>
    <t>New Sweden town, Aroostook County, Maine</t>
  </si>
  <si>
    <t>New Vineyard town, Franklin County, Maine</t>
  </si>
  <si>
    <t>Newburgh town, Penobscot County, Maine</t>
  </si>
  <si>
    <t>Newfield town, York County, Maine</t>
  </si>
  <si>
    <t>Newry town, Oxford County, Maine</t>
  </si>
  <si>
    <t>Nobleboro town, Lincoln County, Maine</t>
  </si>
  <si>
    <t>North Haven town, Knox County, Maine</t>
  </si>
  <si>
    <t>North Penobscot UT, Penobscot County, Maine</t>
  </si>
  <si>
    <t>North Washington UT, Washington County, Maine</t>
  </si>
  <si>
    <t>North Yarmouth town, Cumberland County, Maine</t>
  </si>
  <si>
    <t>Northeast Piscataquis UT, Piscataquis County, Maine</t>
  </si>
  <si>
    <t>Northeast Somerset UT, Somerset County, Maine</t>
  </si>
  <si>
    <t>Northfield town, Washington County, Maine</t>
  </si>
  <si>
    <t>Northport town, Waldo County, Maine</t>
  </si>
  <si>
    <t>Ogunquit town, York County, Maine</t>
  </si>
  <si>
    <t>Old Town city, Penobscot County, Maine</t>
  </si>
  <si>
    <t>Orland town, Hancock County, Maine</t>
  </si>
  <si>
    <t>Orrington town, Penobscot County, Maine</t>
  </si>
  <si>
    <t>Osborn town, Hancock County, Maine</t>
  </si>
  <si>
    <t>Otis town, Hancock County, Maine</t>
  </si>
  <si>
    <t>Otisfield town, Oxford County, Maine</t>
  </si>
  <si>
    <t>Owls Head town, Knox County, Maine</t>
  </si>
  <si>
    <t>Palermo town, Waldo County, Maine</t>
  </si>
  <si>
    <t>Palmyra town, Somerset County, Maine</t>
  </si>
  <si>
    <t>Paris town, Oxford County, Maine</t>
  </si>
  <si>
    <t>Parkman town, Piscataquis County, Maine</t>
  </si>
  <si>
    <t>Parsonsfield town, York County, Maine</t>
  </si>
  <si>
    <t>Passadumkeag town, Penobscot County, Maine</t>
  </si>
  <si>
    <t>Passamaquoddy Indian Township Reservation, Washington County, Maine</t>
  </si>
  <si>
    <t>Passamaquoddy Pleasant Point Reservation, Washington County, Maine</t>
  </si>
  <si>
    <t>Pembroke town, Washington County, Maine</t>
  </si>
  <si>
    <t>Penobscot Indian Island Reservation, Penobscot County, Maine</t>
  </si>
  <si>
    <t>Penobscot town, Hancock County, Maine</t>
  </si>
  <si>
    <t>Perham town, Aroostook County, Maine</t>
  </si>
  <si>
    <t>Perry town, Washington County, Maine</t>
  </si>
  <si>
    <t>Peru town, Oxford County, Maine</t>
  </si>
  <si>
    <t>Phillips town, Franklin County, Maine</t>
  </si>
  <si>
    <t>Phippsburg town, Sagadahoc County, Maine</t>
  </si>
  <si>
    <t>Pittston town, Kennebec County, Maine</t>
  </si>
  <si>
    <t>Pleasant Ridge plantation, Somerset County, Maine</t>
  </si>
  <si>
    <t>Plymouth town, Penobscot County, Maine</t>
  </si>
  <si>
    <t>Poland town, Androscoggin County, Maine</t>
  </si>
  <si>
    <t>Portage Lake town, Aroostook County, Maine</t>
  </si>
  <si>
    <t>Porter town, Oxford County, Maine</t>
  </si>
  <si>
    <t>Portland city, Cumberland County, Maine</t>
  </si>
  <si>
    <t>Pownal town, Cumberland County, Maine</t>
  </si>
  <si>
    <t>Prentiss UT, Penobscot County, Maine</t>
  </si>
  <si>
    <t>Presque Isle city, Aroostook County, Maine</t>
  </si>
  <si>
    <t>Princeton town, Washington County, Maine</t>
  </si>
  <si>
    <t>Prospect town, Waldo County, Maine</t>
  </si>
  <si>
    <t>Rangeley plantation, Franklin County, Maine</t>
  </si>
  <si>
    <t>Raymond town, Cumberland County, Maine</t>
  </si>
  <si>
    <t>Readfield town, Kennebec County, Maine</t>
  </si>
  <si>
    <t>Reed plantation, Aroostook County, Maine</t>
  </si>
  <si>
    <t>Richmond town, Sagadahoc County, Maine</t>
  </si>
  <si>
    <t>Ripley town, Somerset County, Maine</t>
  </si>
  <si>
    <t>Robbinston town, Washington County, Maine</t>
  </si>
  <si>
    <t>Rockland city, Knox County, Maine</t>
  </si>
  <si>
    <t>Rockport town, Knox County, Maine</t>
  </si>
  <si>
    <t>Rome town, Kennebec County, Maine</t>
  </si>
  <si>
    <t>Roque Bluffs town, Washington County, Maine</t>
  </si>
  <si>
    <t>Roxbury town, Oxford County, Maine</t>
  </si>
  <si>
    <t>Saco city, York County, Maine</t>
  </si>
  <si>
    <t>Sandy River plantation, Franklin County, Maine</t>
  </si>
  <si>
    <t>Sanford city, York County, Maine</t>
  </si>
  <si>
    <t>Sangerville town, Piscataquis County, Maine</t>
  </si>
  <si>
    <t>Scarborough town, Cumberland County, Maine</t>
  </si>
  <si>
    <t>Searsmont town, Waldo County, Maine</t>
  </si>
  <si>
    <t>Sebago town, Cumberland County, Maine</t>
  </si>
  <si>
    <t>Sebec town, Piscataquis County, Maine</t>
  </si>
  <si>
    <t>Seboeis plantation, Penobscot County, Maine</t>
  </si>
  <si>
    <t>Sedgwick town, Hancock County, Maine</t>
  </si>
  <si>
    <t>Shapleigh town, York County, Maine</t>
  </si>
  <si>
    <t>Sherman town, Aroostook County, Maine</t>
  </si>
  <si>
    <t>Shirley town, Piscataquis County, Maine</t>
  </si>
  <si>
    <t>Sidney town, Kennebec County, Maine</t>
  </si>
  <si>
    <t>Smithfield town, Somerset County, Maine</t>
  </si>
  <si>
    <t>Smyrna town, Aroostook County, Maine</t>
  </si>
  <si>
    <t>Solon town, Somerset County, Maine</t>
  </si>
  <si>
    <t>Somerville town, Lincoln County, Maine</t>
  </si>
  <si>
    <t>Sorrento town, Hancock County, Maine</t>
  </si>
  <si>
    <t>South Aroostook UT, Aroostook County, Maine</t>
  </si>
  <si>
    <t>South Bristol town, Lincoln County, Maine</t>
  </si>
  <si>
    <t>South Franklin UT, Franklin County, Maine</t>
  </si>
  <si>
    <t>South Oxford UT, Oxford County, Maine</t>
  </si>
  <si>
    <t>South Thomaston town, Knox County, Maine</t>
  </si>
  <si>
    <t>Southport town, Lincoln County, Maine</t>
  </si>
  <si>
    <t>Springfield town, Penobscot County, Maine</t>
  </si>
  <si>
    <t>Square Lake UT, Aroostook County, Maine</t>
  </si>
  <si>
    <t>St. Agatha town, Aroostook County, Maine</t>
  </si>
  <si>
    <t>St. Albans town, Somerset County, Maine</t>
  </si>
  <si>
    <t>St. Francis town, Aroostook County, Maine</t>
  </si>
  <si>
    <t>St. George town, Knox County, Maine</t>
  </si>
  <si>
    <t>St. John plantation, Aroostook County, Maine</t>
  </si>
  <si>
    <t>Stacyville town, Penobscot County, Maine</t>
  </si>
  <si>
    <t>Starks town, Somerset County, Maine</t>
  </si>
  <si>
    <t>Stetson town, Penobscot County, Maine</t>
  </si>
  <si>
    <t>Steuben town, Washington County, Maine</t>
  </si>
  <si>
    <t>Stockholm town, Aroostook County, Maine</t>
  </si>
  <si>
    <t>Stockton Springs town, Waldo County, Maine</t>
  </si>
  <si>
    <t>Stoneham town, Oxford County, Maine</t>
  </si>
  <si>
    <t>Stonington town, Hancock County, Maine</t>
  </si>
  <si>
    <t>Stow town, Oxford County, Maine</t>
  </si>
  <si>
    <t>Strong town, Franklin County, Maine</t>
  </si>
  <si>
    <t>Sullivan town, Hancock County, Maine</t>
  </si>
  <si>
    <t>Sumner town, Oxford County, Maine</t>
  </si>
  <si>
    <t>Surry town, Hancock County, Maine</t>
  </si>
  <si>
    <t>Swans Island town, Hancock County, Maine</t>
  </si>
  <si>
    <t>Swanville town, Waldo County, Maine</t>
  </si>
  <si>
    <t>Sweden town, Oxford County, Maine</t>
  </si>
  <si>
    <t>Talmadge town, Washington County, Maine</t>
  </si>
  <si>
    <t>Temple town, Franklin County, Maine</t>
  </si>
  <si>
    <t>The Forks plantation, Somerset County, Maine</t>
  </si>
  <si>
    <t>Thorndike town, Waldo County, Maine</t>
  </si>
  <si>
    <t>Topsfield town, Washington County, Maine</t>
  </si>
  <si>
    <t>Tremont town, Hancock County, Maine</t>
  </si>
  <si>
    <t>Trenton town, Hancock County, Maine</t>
  </si>
  <si>
    <t>Troy town, Waldo County, Maine</t>
  </si>
  <si>
    <t>Union town, Knox County, Maine</t>
  </si>
  <si>
    <t>Unity UT, Kennebec County, Maine</t>
  </si>
  <si>
    <t>Upton town, Oxford County, Maine</t>
  </si>
  <si>
    <t>Vassalboro town, Kennebec County, Maine</t>
  </si>
  <si>
    <t>Verona Island town, Hancock County, Maine</t>
  </si>
  <si>
    <t>Vienna town, Kennebec County, Maine</t>
  </si>
  <si>
    <t>Vinalhaven town, Knox County, Maine</t>
  </si>
  <si>
    <t>Wade town, Aroostook County, Maine</t>
  </si>
  <si>
    <t>Waite town, Washington County, Maine</t>
  </si>
  <si>
    <t>Waldo town, Waldo County, Maine</t>
  </si>
  <si>
    <t>Waldoboro town, Lincoln County, Maine</t>
  </si>
  <si>
    <t>Wales town, Androscoggin County, Maine</t>
  </si>
  <si>
    <t>Wallagrass town, Aroostook County, Maine</t>
  </si>
  <si>
    <t>Waltham town, Hancock County, Maine</t>
  </si>
  <si>
    <t>Warren town, Knox County, Maine</t>
  </si>
  <si>
    <t>Washington town, Knox County, Maine</t>
  </si>
  <si>
    <t>Waterboro town, York County, Maine</t>
  </si>
  <si>
    <t>Waterford town, Oxford County, Maine</t>
  </si>
  <si>
    <t>Waterville city, Kennebec County, Maine</t>
  </si>
  <si>
    <t>Wayne town, Kennebec County, Maine</t>
  </si>
  <si>
    <t>Webster plantation, Penobscot County, Maine</t>
  </si>
  <si>
    <t>Weld town, Franklin County, Maine</t>
  </si>
  <si>
    <t>Wellington town, Piscataquis County, Maine</t>
  </si>
  <si>
    <t>Wells town, York County, Maine</t>
  </si>
  <si>
    <t>Wesley town, Washington County, Maine</t>
  </si>
  <si>
    <t>West Bath town, Sagadahoc County, Maine</t>
  </si>
  <si>
    <t>West Gardiner town, Kennebec County, Maine</t>
  </si>
  <si>
    <t>West Paris town, Oxford County, Maine</t>
  </si>
  <si>
    <t>Westbrook city, Cumberland County, Maine</t>
  </si>
  <si>
    <t>Westfield town, Aroostook County, Maine</t>
  </si>
  <si>
    <t>Westmanland town, Aroostook County, Maine</t>
  </si>
  <si>
    <t>Weston town, Aroostook County, Maine</t>
  </si>
  <si>
    <t>Westport Island town, Lincoln County, Maine</t>
  </si>
  <si>
    <t>Whitefield town, Lincoln County, Maine</t>
  </si>
  <si>
    <t>Whiting town, Washington County, Maine</t>
  </si>
  <si>
    <t>Whitneyville town, Washington County, Maine</t>
  </si>
  <si>
    <t>Willimantic town, Piscataquis County, Maine</t>
  </si>
  <si>
    <t>Windham town, Cumberland County, Maine</t>
  </si>
  <si>
    <t>Windsor town, Kennebec County, Maine</t>
  </si>
  <si>
    <t>Winn town, Penobscot County, Maine</t>
  </si>
  <si>
    <t>Winterville plantation, Aroostook County, Maine</t>
  </si>
  <si>
    <t>Woodstock town, Oxford County, Maine</t>
  </si>
  <si>
    <t>Woodville town, Penobscot County, Maine</t>
  </si>
  <si>
    <t>Woolwich town, Sagadahoc County, Maine</t>
  </si>
  <si>
    <t>York town, York County, Maine</t>
  </si>
  <si>
    <t>Construction Readiness points</t>
  </si>
  <si>
    <t>CWNS Points</t>
  </si>
  <si>
    <t>Sewer User Rate, MHI from 2022 because project was ranked at that time.</t>
  </si>
  <si>
    <t xml:space="preserve"> BIL EC</t>
  </si>
  <si>
    <t xml:space="preserve">BIL Supplemental </t>
  </si>
  <si>
    <t>Construction Points        (16 points)    2 Constr. Seasons</t>
  </si>
  <si>
    <t>BIL Supp.  Green</t>
  </si>
  <si>
    <t>(5) Climate Adaptation Plan PF is Limited to $25,000 per Applicant</t>
  </si>
  <si>
    <t>Readiness</t>
  </si>
  <si>
    <t>Project Budget</t>
  </si>
  <si>
    <t>Regulatory</t>
  </si>
  <si>
    <t>Success</t>
  </si>
  <si>
    <t>Chronic SSO</t>
  </si>
  <si>
    <t>Regional points</t>
  </si>
  <si>
    <t>Loan Allocation</t>
  </si>
  <si>
    <t>BIL Supplemental</t>
  </si>
  <si>
    <t>Allocation Additional PF</t>
  </si>
  <si>
    <t>Infrastructure Projects</t>
  </si>
  <si>
    <t>EC Principal Forgiveness Percentage (Base)</t>
  </si>
  <si>
    <t xml:space="preserve">EC   </t>
  </si>
  <si>
    <t>Allotted</t>
  </si>
  <si>
    <t>Total Loan Payback Amount</t>
  </si>
  <si>
    <t>Alfred town,York County, Maine, CDP</t>
  </si>
  <si>
    <t>Ashland town, Aroostook County, Maine CDP</t>
  </si>
  <si>
    <t>Bangor city, Penobscot County, Maine CDP</t>
  </si>
  <si>
    <t>Bar Harbor town, Hancock County, Maine CDP</t>
  </si>
  <si>
    <t>Berwick town, York County, Maine CDP</t>
  </si>
  <si>
    <t>Bethel town, Oxford County, Maine CDP</t>
  </si>
  <si>
    <t>Bingham town, Somerset County, Maine CDP</t>
  </si>
  <si>
    <t>Blue Hill town, Hancock County, Maine CDP</t>
  </si>
  <si>
    <t>Boothbay Harbor town, Lincoln County, Maine CDP</t>
  </si>
  <si>
    <t>Bowdoinham town, Sagadahoc County, Maine CDP</t>
  </si>
  <si>
    <t>Bradley town, Penobscot County, Maine CDP</t>
  </si>
  <si>
    <t>Bridgton town, Cumberland County, Maine CDP</t>
  </si>
  <si>
    <t>Brownville Junction town, Piscataquis County, Maine CDP</t>
  </si>
  <si>
    <t>Brunswick town, Cumberland County, Maine CDP</t>
  </si>
  <si>
    <t>Bucksport town, Hancock County, Maine CDP</t>
  </si>
  <si>
    <t>Camden town, Knox County, Maine CDP</t>
  </si>
  <si>
    <t>Clinton town, Kennebec County, Maine CDP</t>
  </si>
  <si>
    <t>Corinna town, Penobscot County, Maine CDP</t>
  </si>
  <si>
    <t>Cornish town, York County, Maine CDP</t>
  </si>
  <si>
    <t>Damariscotta town, Lincoln County, Maine CDP</t>
  </si>
  <si>
    <t>Danforth town, Washington County, Maine CDP</t>
  </si>
  <si>
    <t>Dexter town, Penobscot County, Maine CDP</t>
  </si>
  <si>
    <t>Dixfield town, Oxford County, Maine CDP</t>
  </si>
  <si>
    <t>Dover-Foxcroft town, Piscataquis County, Maine CDP</t>
  </si>
  <si>
    <t>East Millinocket town, Penobscot County, Maine CDP</t>
  </si>
  <si>
    <t>Fairfield town, Somerset County, Maine CDP</t>
  </si>
  <si>
    <t>Falmouth town, Cumberland County, Maine CDP</t>
  </si>
  <si>
    <t>Farmingdale town, Kennebec County, Maine CDP</t>
  </si>
  <si>
    <t>Farmington town, Franklin County, Maine CDP</t>
  </si>
  <si>
    <t>Fort Fairfield town, Aroostook County, Maine CDP</t>
  </si>
  <si>
    <t>Fort Kent town, Aroostook County, Maine CDP</t>
  </si>
  <si>
    <t>Freeport town, Cumberland County, Maine CDP</t>
  </si>
  <si>
    <t>Fryeburg town, Oxford County, Maine CDP</t>
  </si>
  <si>
    <t>Gorham town, Cumberland County, Maine CDP</t>
  </si>
  <si>
    <t>Grand Isle town, Aroostook County, Maine CDP</t>
  </si>
  <si>
    <t xml:space="preserve">Gray town, Cumberland County, Maine </t>
  </si>
  <si>
    <t>Greenville town, Piscataquis County, Maine CDP</t>
  </si>
  <si>
    <t>Guilford town, Piscataquis County, Maine CDP</t>
  </si>
  <si>
    <t>Hampden town, Penobscot County, Maine CDP</t>
  </si>
  <si>
    <t>Hartland town, Somerset County, Maine CDP</t>
  </si>
  <si>
    <t>Howland town, Penobscot County, Maine CDP</t>
  </si>
  <si>
    <t>Island Falls town, Aroostook County, Maine CDP</t>
  </si>
  <si>
    <t>Jonesport town, Washington County, Maine CDP</t>
  </si>
  <si>
    <t>Kennebunk town, York County, Maine CDP</t>
  </si>
  <si>
    <t>Kennebunkport town, York County, Maine CDP</t>
  </si>
  <si>
    <t>Kingfield town, Franklin County, Maine CDP</t>
  </si>
  <si>
    <t>Kittery town, York County, Maine CDP</t>
  </si>
  <si>
    <t>Limestone town, Aroostook County, Maine CDP</t>
  </si>
  <si>
    <t>Lincoln town, Penobscot County, Maine CDP</t>
  </si>
  <si>
    <t>Lisbon town, Androscoggin County, Maine CDP</t>
  </si>
  <si>
    <t>Lubec town, Washington County, Maine CDP</t>
  </si>
  <si>
    <t>Machias town, Washington County, Maine CDP</t>
  </si>
  <si>
    <t>Madison town, Somerset County, Maine CDP</t>
  </si>
  <si>
    <t>Mapleton town, Aroostook County, Maine CDP</t>
  </si>
  <si>
    <t>Mars Hill town, Aroostook County, Maine CDP</t>
  </si>
  <si>
    <t>Mattawamkeag town, Penobscot County, Maine CDP</t>
  </si>
  <si>
    <t>Mechanic Falls town, Androscoggin County, Maine CDP</t>
  </si>
  <si>
    <t>Mexico town, Oxford County, Maine CDP</t>
  </si>
  <si>
    <t xml:space="preserve">Milbridge town, Washington County, Maine </t>
  </si>
  <si>
    <t>Milford town, Penobscot County, Maine CDP</t>
  </si>
  <si>
    <t>Millinocket town, Penobscot County, Maine CDP</t>
  </si>
  <si>
    <t>Milo town, Piscataquis County, Maine CDP</t>
  </si>
  <si>
    <t>Naples town, Cumberland County, Maine CDP</t>
  </si>
  <si>
    <t>Newcastle town, Lincoln County, Maine CDP</t>
  </si>
  <si>
    <t>Newport town, Penobscot County, Maine CDP</t>
  </si>
  <si>
    <t>Norridgewock town, Somerset County, Maine CDP</t>
  </si>
  <si>
    <t>North Berwick town, York County, Maine CDP</t>
  </si>
  <si>
    <t>North Windham town, Cumberland County, Maine</t>
  </si>
  <si>
    <t>Northeast Harbor town,  Hancock County, Maine CDP</t>
  </si>
  <si>
    <t>Norway town, Oxford County, Maine CDP</t>
  </si>
  <si>
    <t>Oakfield town, Aroostook County, Maine CDP</t>
  </si>
  <si>
    <t>Oakland town, Kennebec County, Maine CDP</t>
  </si>
  <si>
    <t>Old Orchard Beach town, York County, Maine CDP</t>
  </si>
  <si>
    <t>Orono town, Penobscot County, Maine CDP</t>
  </si>
  <si>
    <t>Oxford town, Oxford County, Maine CDP</t>
  </si>
  <si>
    <t>Patten town, Penobscot County, Maine CDP</t>
  </si>
  <si>
    <t>Pittsfield town, Somerset County, Maine CDP</t>
  </si>
  <si>
    <t xml:space="preserve">Randolph town, Kennebec County, Maine </t>
  </si>
  <si>
    <t>Rangeley town, Franklin County, Maine CDP</t>
  </si>
  <si>
    <t>Rumford town, Oxford County, Maine CDP</t>
  </si>
  <si>
    <t>Sabattus town, Androscoggin County, Maine CDP</t>
  </si>
  <si>
    <t>Searsport town, Waldo County, Maine CDP</t>
  </si>
  <si>
    <t>Skowhegan town, Somerset County, Maine CDP</t>
  </si>
  <si>
    <t>South Berwick town, York County, Maine CDP</t>
  </si>
  <si>
    <t>South Portland city, Cumberland County, Maine CDP</t>
  </si>
  <si>
    <t>Southwest Harbor town, Hancock County, Maine CDP</t>
  </si>
  <si>
    <t>Standish town, Cumberland County, Maine CDP</t>
  </si>
  <si>
    <t>Thomaston town, Knox County, Maine CDP</t>
  </si>
  <si>
    <t>Topsham town, Sagadahoc County, Maine CDP</t>
  </si>
  <si>
    <t>Turner town, Androscoggin County, Maine CDP</t>
  </si>
  <si>
    <t>Unity town, Waldo County, Maine CDP</t>
  </si>
  <si>
    <t>Van Buren town, Aroostook County, Maine CDP</t>
  </si>
  <si>
    <t xml:space="preserve">Vanceboro town, Washington County, Maine </t>
  </si>
  <si>
    <t>Veazie town, Penobscot County, Maine CDP</t>
  </si>
  <si>
    <t>Washburn town, Aroostook County, Maine CDP</t>
  </si>
  <si>
    <t>Wilton town, Franklin County, Maine CDP</t>
  </si>
  <si>
    <t>Winslow town, Kennebec County, Maine CDP</t>
  </si>
  <si>
    <t>Winter Harbor town, Hancock County, Maine CDP</t>
  </si>
  <si>
    <t>Winterport town, Waldo County, Maine CDP</t>
  </si>
  <si>
    <t>Winthrop town, Kennebec County, Maine CDP</t>
  </si>
  <si>
    <t>Wiscasset town, Lincoln County, Maine CDP</t>
  </si>
  <si>
    <t>Woodland town, Aroostook County, Maine CDP</t>
  </si>
  <si>
    <t>Yarmouth town, Cumberland County, Maine CDP</t>
  </si>
  <si>
    <t>2024 Allocations</t>
  </si>
  <si>
    <t>Stormwater &amp; NPS</t>
  </si>
  <si>
    <t>Final Point Tabulation</t>
  </si>
  <si>
    <t>CWSRF STANDALONE FSP &amp; CAP - Working List</t>
  </si>
  <si>
    <t>Funding Source</t>
  </si>
  <si>
    <t xml:space="preserve">CWSRF BIL Emerging Contaminants - Working List </t>
  </si>
  <si>
    <t xml:space="preserve">Type of Construction </t>
  </si>
  <si>
    <t>Discussion Profile of Submitted Projects</t>
  </si>
  <si>
    <t>2. WWTF Upgrades</t>
  </si>
  <si>
    <t xml:space="preserve">1. CSO </t>
  </si>
  <si>
    <t>3. Collection System Improvements</t>
  </si>
  <si>
    <t>5. Pump Station Improvements</t>
  </si>
  <si>
    <t>7. New WWTF Construction</t>
  </si>
  <si>
    <t xml:space="preserve">8. PFAS </t>
  </si>
  <si>
    <t>Anson-Madison Sanitary District</t>
  </si>
  <si>
    <t>Auburn Sewer District</t>
  </si>
  <si>
    <t>Wastington Street PS - 40 yr old station</t>
  </si>
  <si>
    <t>Bath, City of</t>
  </si>
  <si>
    <t>9. CAP - ID'd project</t>
  </si>
  <si>
    <t xml:space="preserve">Belfast, City of </t>
  </si>
  <si>
    <t>Berwick Sewer District</t>
  </si>
  <si>
    <t xml:space="preserve">WWTF Improvements - improve chemical and biological removal </t>
  </si>
  <si>
    <t xml:space="preserve">Biddeford, City of </t>
  </si>
  <si>
    <t>Bingham I/I FSP</t>
  </si>
  <si>
    <t xml:space="preserve">Brewer, City of </t>
  </si>
  <si>
    <t>Brewer Cove CSO Reduction - 2200 lf of 10" VC pipe replacement on Brewer St. and 300 lf of 8" VC on Tibbetts St.</t>
  </si>
  <si>
    <t>Brooks, Town of</t>
  </si>
  <si>
    <t xml:space="preserve">Calais, City of </t>
  </si>
  <si>
    <t>Caribou Utilities District</t>
  </si>
  <si>
    <t xml:space="preserve">Wastewater System Improvements - headworks replacement </t>
  </si>
  <si>
    <t>Clinton Water District</t>
  </si>
  <si>
    <t>Railroad &amp; Church Street Utility Upgrades - sewer replacement</t>
  </si>
  <si>
    <t>Corinna Sewer District</t>
  </si>
  <si>
    <t>Dexter Utility District</t>
  </si>
  <si>
    <t>Eagle Lake Water &amp; Sewer District</t>
  </si>
  <si>
    <t>Falmouth, Town of</t>
  </si>
  <si>
    <t xml:space="preserve">Fort Kent, Town of </t>
  </si>
  <si>
    <t xml:space="preserve">Freeport Sewer District </t>
  </si>
  <si>
    <t>Also submitted in 2023</t>
  </si>
  <si>
    <t>Hartland, Town of</t>
  </si>
  <si>
    <t xml:space="preserve">Houlton Water Company </t>
  </si>
  <si>
    <t xml:space="preserve">Backup Emergency Generator </t>
  </si>
  <si>
    <t xml:space="preserve">Islesboro, Town of </t>
  </si>
  <si>
    <t>Pendleton Point Rd &amp; Derby Rd Sewer Improvements - 3,400 lf VC sewer replacement</t>
  </si>
  <si>
    <t>Requested CWSRF Loan Amount            (Max.  $10M)</t>
  </si>
  <si>
    <t>CSO Tank - 2.1 MG CSO Storage Tank</t>
  </si>
  <si>
    <t>Limerick Sewerage District</t>
  </si>
  <si>
    <t>Lincolnville Sewer District</t>
  </si>
  <si>
    <t xml:space="preserve">Lubec, Town of </t>
  </si>
  <si>
    <t>Machias, Town of</t>
  </si>
  <si>
    <t>Mapleton Sewer District</t>
  </si>
  <si>
    <t>Sewer System I/I Reduction - 1,000 lf of sewer replacement</t>
  </si>
  <si>
    <t>Mars Hill Utility District</t>
  </si>
  <si>
    <t>Mechanic Falls Sanitary District</t>
  </si>
  <si>
    <t xml:space="preserve">Milbridge, Town of </t>
  </si>
  <si>
    <t xml:space="preserve">Millinocket, Town of </t>
  </si>
  <si>
    <t>Milo Water District</t>
  </si>
  <si>
    <t>North Berwick Sanitary District</t>
  </si>
  <si>
    <t>North Windham WWTF</t>
  </si>
  <si>
    <t>CAP</t>
  </si>
  <si>
    <t>Old Orchard Beach</t>
  </si>
  <si>
    <t>Orono, Town of</t>
  </si>
  <si>
    <t xml:space="preserve">Patten, Town of </t>
  </si>
  <si>
    <t>Portland Water District</t>
  </si>
  <si>
    <t>Richmond Utilities District</t>
  </si>
  <si>
    <t xml:space="preserve">Rockland, City of </t>
  </si>
  <si>
    <t xml:space="preserve">Rockport, Town of </t>
  </si>
  <si>
    <t>Submitted 2023</t>
  </si>
  <si>
    <t>Sabattus Sanitary District</t>
  </si>
  <si>
    <t xml:space="preserve">Saco, City of </t>
  </si>
  <si>
    <t>FSP &amp; CAP</t>
  </si>
  <si>
    <t>South Berwick Sewer District</t>
  </si>
  <si>
    <t>WWTF Upgrades</t>
  </si>
  <si>
    <t xml:space="preserve">FSP   </t>
  </si>
  <si>
    <t>Stonington Sanitary District</t>
  </si>
  <si>
    <t xml:space="preserve">Vinalhaven, Town of </t>
  </si>
  <si>
    <t>Wells Sanitary District</t>
  </si>
  <si>
    <t>WWTF Sludge HandlingSystem Upgrade</t>
  </si>
  <si>
    <t xml:space="preserve">Windham, Town of </t>
  </si>
  <si>
    <t xml:space="preserve">Winslow, Town of </t>
  </si>
  <si>
    <t>Winterport Water District</t>
  </si>
  <si>
    <t xml:space="preserve">Wiscasset, Town of </t>
  </si>
  <si>
    <t>Priority</t>
  </si>
  <si>
    <t>WQ Concerns?</t>
  </si>
  <si>
    <t>Regulatory?</t>
  </si>
  <si>
    <t>Green ?</t>
  </si>
  <si>
    <t>Chronic SSO's?</t>
  </si>
  <si>
    <t>Shovel Ready</t>
  </si>
  <si>
    <t>CAP?</t>
  </si>
  <si>
    <t>FSP?</t>
  </si>
  <si>
    <t>Co-Funding ?</t>
  </si>
  <si>
    <t>Public Health Risk?</t>
  </si>
  <si>
    <t>NO</t>
  </si>
  <si>
    <t>Eliminate Outfall?</t>
  </si>
  <si>
    <t xml:space="preserve">No </t>
  </si>
  <si>
    <t>Is this really a CWSRF project?</t>
  </si>
  <si>
    <t>No?</t>
  </si>
  <si>
    <t xml:space="preserve">Hampden, Town of </t>
  </si>
  <si>
    <t>Not on CWNS</t>
  </si>
  <si>
    <t>shellfish, facility need</t>
  </si>
  <si>
    <t>VC pipe</t>
  </si>
  <si>
    <t>How many pump stations? VC pipe</t>
  </si>
  <si>
    <t>Yes ($50K)</t>
  </si>
  <si>
    <t>PFAS</t>
  </si>
  <si>
    <t>Yes $ TBD</t>
  </si>
  <si>
    <t>EC</t>
  </si>
  <si>
    <t xml:space="preserve">facility need </t>
  </si>
  <si>
    <t>Nutrient levels to Great Bay</t>
  </si>
  <si>
    <t>Upgrade of 60 yr old influent pump station which handles all flow for the District incl. new wetwell, pumps, odor control, new building addition to house new influent screen. Project also includes new 30,000 gallon septage receiving facility with screening to act as regional septage facility (4-5 MGY)</t>
  </si>
  <si>
    <t>2024 Sewer User Rates</t>
  </si>
  <si>
    <t>Data Source: US Census Bureau (2021) DP03 Selected Economic  Characteristics and S1701 Poverty Status in the last 12 months. American Community Survey 5-Year Estimates Data Profiles.  Accessed 4/19/2024 at https://data.census.gov/cedsci/</t>
  </si>
  <si>
    <t>Upgrade of 40yr old WWTF focusing on sludge handling and dewatering equipment and making the WWTF more climate resilient and resilient to flooding. Replace current centrifuge which is at end of its service life with new sludge dewatering equipment, construct a new dewatering building at higher elevation, improvements to sludge storage tanks,replace sludge feed pumps and install odor control system</t>
  </si>
  <si>
    <t>Facility need</t>
  </si>
  <si>
    <t>Brooks</t>
  </si>
  <si>
    <t>New addition 2024 - Brooks town, Waldo County, Maine in Census</t>
  </si>
  <si>
    <t>Poverty and Unemployment could not be found in Census Data gathered on 4/18/2024</t>
  </si>
  <si>
    <t>5M</t>
  </si>
  <si>
    <t>x</t>
  </si>
  <si>
    <t>In Royal River watershed; has this been an issue for regulatory? Ask inspector.</t>
  </si>
  <si>
    <t>Also submitted 2022  VC Pipe.</t>
  </si>
  <si>
    <t>4H</t>
  </si>
  <si>
    <t>Smithfield</t>
  </si>
  <si>
    <t>1M</t>
  </si>
  <si>
    <t>1H</t>
  </si>
  <si>
    <t>Not agreeing on ability to take funds w/o PF.</t>
  </si>
  <si>
    <t>5H</t>
  </si>
  <si>
    <t>4M</t>
  </si>
  <si>
    <t>5L</t>
  </si>
  <si>
    <t>2023 project - get data from that</t>
  </si>
  <si>
    <t>Said they applied in 2023. Need to confirm. Ask Annaleis if this will be bid with the water project. If yes, we should credit them for co-funding. Bidding water and sewer together.</t>
  </si>
  <si>
    <t>Issues with pump stations? Ask the inspector. Chronic SSOs? Confirm RO. They have overtopped their lagoons (before the relined - 2018). They have had NOV.</t>
  </si>
  <si>
    <t>Ranked in 2019</t>
  </si>
  <si>
    <t>Not on CWNS. Not a CSO project (will no eliminate any and will likely contribute to them).</t>
  </si>
  <si>
    <t>Submitted in 2023. Considered a continuation of the West Chapman Rd. project, which was their ARPA project. As such, we awarded co-funding.</t>
  </si>
  <si>
    <t>Submitted in 2022, budget has a math error. Ask inspector if there are any regulatory issues.</t>
  </si>
  <si>
    <t>No regulatory issues.</t>
  </si>
  <si>
    <t>Submitted in 2023. Gregg will check on state of CA regarding SSOs. Ask Karen about the project. Do they have co-funding? They should. Check with inspector about Chronic SSOs. Request to Brent to break out pipe cost from Green.</t>
  </si>
  <si>
    <t>VC pipe and MDOT project, so we will give them co-funding, even though they did not call it out.</t>
  </si>
  <si>
    <t>Improve reliability of solids handling with the Replacement of dewatering equipment that has reached its service life inc. increased capacity for WAS storage, dewatering equip., sludge conveyance upgrades,odor control and polymer storage, CMAR used to accelerate construction schedule. In response to need to minimize sludge volume due to PFAS limiting disposal options.</t>
  </si>
  <si>
    <t>Green is in solids handling efficiency increase, volume decrease. They received our EC funding last year, so they do have co-funding.</t>
  </si>
  <si>
    <t>Ranked similar to Jay.</t>
  </si>
  <si>
    <t>Same Sewer User Rate as North Windham's treatment plant.</t>
  </si>
  <si>
    <t>Maine Rural Water  MHI survey; Using 2019 affordabiulity data because it is the same project.</t>
  </si>
  <si>
    <t>2019, 2022. Stayed with original 2019 affordability criteria because it is the same project.</t>
  </si>
  <si>
    <t>2022 rate = 658; MHI = 32,138</t>
  </si>
  <si>
    <t>Sounds like this is hitting all the boxes. Ranked 2023</t>
  </si>
  <si>
    <t>2023 rate = 674; MHI = 60,838</t>
  </si>
  <si>
    <t>2023 rate = 416; MHI = 25,000</t>
  </si>
  <si>
    <t>Remove only point source on Pleasant River (2021 PS Improvements - mult. PS, 5L; 2023 WWTF Improvements - Comprehensive upgrades. 5M. Not quite the same projects.) Ask WSD to submit some Green numbers (should qualify).</t>
  </si>
  <si>
    <t>Ranked in 2021/2022. Ask Jim Lord about cost of solar array (estimate is okay).</t>
  </si>
  <si>
    <t>VC pipe. Fred said they don't have any documented issues on his end. Pipe is close to the lake, and there are sandy soils in the area, but there isn't anything on record that says there are water quality issues. Mike will call Dirigo. No documented bacterial contamination.</t>
  </si>
  <si>
    <t>Any regulatory? Check with inspector to confirm is there are any GRB. Three pages of SSOs.</t>
  </si>
  <si>
    <t>Mike will check on Regulatory to confirm it's right. No regulatory issues.</t>
  </si>
  <si>
    <t>2021 rate = 1,051; MHI = 45,455</t>
  </si>
  <si>
    <t>Use new sewer user rates for projects that are continuing, but use original MHI from first request.</t>
  </si>
  <si>
    <t>Using current affordability data because they did not get money last time they applied (and they did an income survey, so we are using that amount.</t>
  </si>
  <si>
    <t>Reach out to DWSRF/DHHS about possible drinking water issues. N/A. What kind of system are they intending to use? Subsurface. Gregg says they can't discharge into the stream because its flow is too low.- Brandy will call Scott Emery re: application to RD. They have not applied at RD recently, but Scott will send the PER to Brandy. Mike will call Bryanna Dennis re: the project details. They do have co-funding. No records of water well contamination. Getting rid of an OBD.  Had no indication that the drinking water wells are contaminated, so we amended to 4M (4H would require documentation).</t>
  </si>
  <si>
    <t>Use new sewer user rates for projects that are continuing, but use original MHI from first request. Biddeford's User Rate is in question right now.</t>
  </si>
  <si>
    <r>
      <t xml:space="preserve">2022 rate = 2,224; </t>
    </r>
    <r>
      <rPr>
        <sz val="10"/>
        <color rgb="FFFF0000"/>
        <rFont val="Arial"/>
        <family val="2"/>
      </rPr>
      <t>MHI = 53,120</t>
    </r>
  </si>
  <si>
    <t>2023 rate = 810; MHI = 44,286</t>
  </si>
  <si>
    <t>Check on Liberty Street PS SSO history, talk to inspector. To keep the storage below critical levels, they requested (and were allowed) to spray later into the year. No overtopping - yet - but getting close.</t>
  </si>
  <si>
    <t>2023 rate = 1,055; MHI = 35,313</t>
  </si>
  <si>
    <t>2022 rate = 1,602; MHI = 31,406</t>
  </si>
  <si>
    <t>Using current affordability data because they did not get money last time they applied.</t>
  </si>
  <si>
    <t>Will the project stop the chronic SSOs? Project was #1 priority for I/I study that CES did for Hartland. It should eliminate the SSOs. VC Pipe project = all pipe, all Green.</t>
  </si>
  <si>
    <r>
      <t>2023 rate = 2,264;</t>
    </r>
    <r>
      <rPr>
        <sz val="10"/>
        <color rgb="FFFF0000"/>
        <rFont val="Arial"/>
        <family val="2"/>
      </rPr>
      <t xml:space="preserve"> MHI = 47,557</t>
    </r>
  </si>
  <si>
    <t>Submitted in 2023. Costs are not matching last year's numbers. Check with Olver (Mandy) re: discrepancy. Brandy gave us the updated info, and it is in the folder.</t>
  </si>
  <si>
    <r>
      <t xml:space="preserve">2021 rate = 532; </t>
    </r>
    <r>
      <rPr>
        <sz val="10"/>
        <color rgb="FFFF0000"/>
        <rFont val="Arial"/>
        <family val="2"/>
      </rPr>
      <t>MHI = 32,730</t>
    </r>
  </si>
  <si>
    <r>
      <t xml:space="preserve">2023 rate = 7,250; </t>
    </r>
    <r>
      <rPr>
        <sz val="10"/>
        <color rgb="FFFF0000"/>
        <rFont val="Arial"/>
        <family val="2"/>
      </rPr>
      <t>MHI = 78,284</t>
    </r>
  </si>
  <si>
    <r>
      <t xml:space="preserve">2023 rate = 3,387; </t>
    </r>
    <r>
      <rPr>
        <sz val="10"/>
        <color rgb="FFFF0000"/>
        <rFont val="Arial"/>
        <family val="2"/>
      </rPr>
      <t>MHI = 83,542</t>
    </r>
  </si>
  <si>
    <r>
      <t xml:space="preserve">2024 rate = 3,387; </t>
    </r>
    <r>
      <rPr>
        <sz val="10"/>
        <color rgb="FFFF0000"/>
        <rFont val="Arial"/>
        <family val="2"/>
      </rPr>
      <t>MHI = 83,542</t>
    </r>
  </si>
  <si>
    <t>Submitted 2023.</t>
  </si>
  <si>
    <t>2020 Income Survey for MHI</t>
  </si>
  <si>
    <t>Submitted 2023. They will not be able to make their permit, so a CA is imminently going to be required.</t>
  </si>
  <si>
    <t>MHI income survey is already in the table.</t>
  </si>
  <si>
    <r>
      <t xml:space="preserve">2022 rate = 854; </t>
    </r>
    <r>
      <rPr>
        <sz val="10"/>
        <color rgb="FFFF0000"/>
        <rFont val="Arial"/>
        <family val="2"/>
      </rPr>
      <t>MHI = 70,517</t>
    </r>
  </si>
  <si>
    <r>
      <t xml:space="preserve">2024 rate = 1,846; </t>
    </r>
    <r>
      <rPr>
        <sz val="10"/>
        <color rgb="FFFF0000"/>
        <rFont val="Arial"/>
        <family val="2"/>
      </rPr>
      <t>MHI = 63,359</t>
    </r>
  </si>
  <si>
    <t>2023 rate = 649; MHI = 46,980</t>
  </si>
  <si>
    <t>2024 rate = 1,673; MHI = 40,000</t>
  </si>
  <si>
    <t>Used data from 2021 Ranking (same project); Typically an average of Anson and Madison data</t>
  </si>
  <si>
    <t>2023 Ranking MHI</t>
  </si>
  <si>
    <t>Eagle Lake CDP, Maine; 2023 Ranking MHI</t>
  </si>
  <si>
    <t>Freeport CDP, Maine; Budget doubled, and we questioned, but Leland confirmed that it was due to their $20M RD loan; 2023 Ranking MHI</t>
  </si>
  <si>
    <t>Hartland CDP, Maine; Prior project Ranking MHI (next phase of same project)</t>
  </si>
  <si>
    <t>2023 Ranking MHI; Normally based on Lewiston: 30% of flow, Auburn: 70% of flow</t>
  </si>
  <si>
    <t>Millinocket CDP, Maine; 2021 Ranking MHI</t>
  </si>
  <si>
    <t>No updated population data. Sewer User rate is from 2023. 2022 Ranking MHI</t>
  </si>
  <si>
    <t>Richmond CDP, Maine; 2021 Ranking MHI (previous project)</t>
  </si>
  <si>
    <t>Poverty and Unemployment could not be found in Census Data gathered on 4/18/2024; 2023 Ranking MHI</t>
  </si>
  <si>
    <t>Partially ranked 2023. Check with inspector about how badly the interceptor is being undermined at Mackworth Point. Mill Creek has gotten worse (banks eroding, pipes exposed). Emily Brown took pics - Mike says it looks pretty severe.</t>
  </si>
  <si>
    <t>Maine Forestry Direct Link</t>
  </si>
  <si>
    <t>Poverty and Unemployment from alternative Census Data tables.</t>
  </si>
  <si>
    <t>Submitted in 2023, budget has a math error. Fixed</t>
  </si>
  <si>
    <t>Submitted 2023, budget math error. Should be asking for $6M and not $5M according to the calculations. VC pipe Replacement; SSO 2 is because this takes all the flow from the whole town AND there is a CSO there, too.</t>
  </si>
  <si>
    <t>Submitted 2021. Check with inspector about RO, flooding at headworks (is it a serious deficiency?) Flooding is isolated to the headworks.</t>
  </si>
  <si>
    <t>Also submitted 2021. Call to ask about SBR = green? We need amounts. They did not respond. We are assuming they did not have any GPR to claim.</t>
  </si>
  <si>
    <t>Submitted 2023; Mike will call and ask about water quality issues related to seawater in the aeration tanks. Brandy spoke to Olver, and no changes to water quality have been identified.</t>
  </si>
  <si>
    <t>Phase 1 and 2 were previously ranked (2022? 2023?). Still showing as too high for what it should be. Mike said the amount given on their latest CSO Annual Report is $664. Tom has said he has backup for the $997. Proceeding as if that is not the case until the backup comes. Mike will ask if they intend to borrow FSP (application says no amount.) No response re: FSP borrowing?</t>
  </si>
  <si>
    <t>Submitted in 2023. Mike will talk to DMR about shellfishing. Check with inspector re: RO. Inspector said no regulatory. No Shellfishing impacts per DMR.</t>
  </si>
  <si>
    <t>2023 ranked project. Check with Travis re: Green. Travis has not yet responded, so we  assume there isn't any green.</t>
  </si>
  <si>
    <t>VC pipe 2023 project. Check with DMR re: shellfishing. Ask Mandy and the inspector (Dave Bowie) re: SSOs to determine if it has become a problem. No history of SSOs. No Shellfishing impacts per DMR.</t>
  </si>
  <si>
    <t>Submitted in 2023. In December 2023 storm, ferry terminal was destroyed along with part of the outfall. MDOT has told them they have to extend their outfall. Gregg will ask Bill Johnson about the conversations with MDOT. He will also call Annaleis. Mandy said that she is not aware of MDOT telling them to move the pipe, but they are waiting for MDOT's new design of the pier (the boat size requires a redesign). Will rank the same as 2023. Last remaining upgrade needed from OBD elimination project. Moving existing project into new contract, so we are giving them co-funding. Because project is a continuation from the previous plant upgrade, we used the income survey they originally submitted for MHI. Getting an LOW from Jim. Shellfishing? Check with DMR. Brandy will call Mandy to ask questions about the design, etc. Planning to rebuild what is there, but will place outfall in correct place per the permit. (Currently tied to MDOT pier, but that is being enlarged for a larger ferry). No Shellfishing impacts per DMR.</t>
  </si>
  <si>
    <t>Submitted in 2021-2023 Two SSO points? VC pipe? Check on Regulatory status. Mike will ask James Knight. No CA/CO. Check with Annaleis on cost of pipe. Check DMR re: shellfishing beds. Bre checked permit. N/A. Their 2018 permit does have 2 emergency SSO locations called out. No Shellfishing impacts per DMR.</t>
  </si>
  <si>
    <t>Submitted in 2022 Not in CWNS VC Pipe; Was in 2022 original ranking sheet. Was a note about DMR/Shellfishing, but the ranking stayed at 4H, so we didn't get confirmation about that being an impact. They turned down the loan-only offer, so this is not a continuing project. Therefore, we are using this year's affordability criteria. Mike will ask about co-funding and a value assigned to the VC Pipe cost. All of the project construction cost ($7.7M+$3.0M contringency) deals with replacement or relining of the VC Pipe, so it is all Green. No Shellfishing impacts per DMR.</t>
  </si>
  <si>
    <t>Submitted in 2022 &amp; 2023. Added Regional because Windham School District (RSU#14) is joining the plant in North Windham and eliminating subsurface discharge into the Pleasant River.</t>
  </si>
  <si>
    <t xml:space="preserve">They said no to preivously submitted but I think that is false. Need to talk to Tom about the Sewer User Rate. Still showing as too high for what it should be. Mike said the amount given on their latest CSO Annual Report is $664. Tom has said he has backup for the $997. Proceeding as if that is not the case until the backup comes. </t>
  </si>
  <si>
    <t>2022/23 Ranking MHI; used their CSO Annual Report Sewer User Rate because there is a huge discrepancy. Waiting for backup from City Engineer for the given $997 rate on their application.</t>
  </si>
  <si>
    <t>Submitted 2023. Mike will check with DMR re: shellfishing. No Shellfishing impacts per DMR. Not eligible for PF this year.</t>
  </si>
  <si>
    <t>I/I Study &amp; FSP</t>
  </si>
  <si>
    <t>Submitted 2023. Mike will check with DMR re: shellfishing. Ask inspector about compliance issue with the existing tank. No Shellfishing impacts per DMR. Yes to chronic SSOs. It seems that this tank will significantly help with SSO prevention.</t>
  </si>
  <si>
    <t>State Match</t>
  </si>
  <si>
    <t>Repayment</t>
  </si>
  <si>
    <t xml:space="preserve">Hold Administration Actual </t>
  </si>
  <si>
    <t>Total for Projects</t>
  </si>
  <si>
    <t>Setaside</t>
  </si>
  <si>
    <t>SubTotal</t>
  </si>
  <si>
    <t xml:space="preserve">NO </t>
  </si>
  <si>
    <t>MORE</t>
  </si>
  <si>
    <t>$$</t>
  </si>
  <si>
    <t>No Loan</t>
  </si>
  <si>
    <r>
      <t>Ranked in 2023. Brandy will ask Jim Lord to give us a revised budget that reflects this as a continuing project. Include Green numbers. Sean sent a letter, so they get RO. Patti needs update sheet.</t>
    </r>
    <r>
      <rPr>
        <b/>
        <sz val="12"/>
        <rFont val="Arial"/>
        <family val="2"/>
      </rPr>
      <t>Not Full Max. in PF because we ran out.(BMP)</t>
    </r>
  </si>
  <si>
    <t>Construction Points            (16 points)       2 Constr. Seasons</t>
  </si>
  <si>
    <t>BIL EC</t>
  </si>
  <si>
    <t xml:space="preserve">East End WWTF Dewatering Improvements - Sludge Dewatering equipment </t>
  </si>
  <si>
    <t>CWNS</t>
  </si>
  <si>
    <t>CWNS Project</t>
  </si>
  <si>
    <t>(3) Affordability PF is limited to $1,000,000 per Applicant</t>
  </si>
  <si>
    <t>(6) EC is Limited to $526,720 per Applicant</t>
  </si>
  <si>
    <t>Economic Considerations</t>
  </si>
  <si>
    <t>Environmental Need</t>
  </si>
  <si>
    <t>Environmental Benefit</t>
  </si>
  <si>
    <t>Likelihood project will be implemented</t>
  </si>
  <si>
    <t xml:space="preserve">Project Description </t>
  </si>
  <si>
    <t>Addresses an impairment / threat / stressor</t>
  </si>
  <si>
    <t>Entity and Project Type (1)</t>
  </si>
  <si>
    <t>Requested Project Funding</t>
  </si>
  <si>
    <t>Total Project Cost</t>
  </si>
  <si>
    <t>Local Match</t>
  </si>
  <si>
    <t>Part of a comprehensive watershed</t>
  </si>
  <si>
    <t>Total Score</t>
  </si>
  <si>
    <t>Entity Offer</t>
  </si>
  <si>
    <t>Falmouth, Town of (319)</t>
  </si>
  <si>
    <r>
      <rPr>
        <b/>
        <sz val="12"/>
        <rFont val="Arial"/>
        <family val="2"/>
      </rPr>
      <t>East Pond Watershed Survey</t>
    </r>
    <r>
      <rPr>
        <sz val="12"/>
        <rFont val="Arial"/>
        <family val="2"/>
      </rPr>
      <t xml:space="preserve"> - survey will be conducted this fall (2024), in conjunction with the 7 Lakes Alliance (7 Lakes) and the East Pond Association.</t>
    </r>
  </si>
  <si>
    <t>South Portland, City of (319)</t>
  </si>
  <si>
    <r>
      <rPr>
        <b/>
        <sz val="12"/>
        <rFont val="Arial"/>
        <family val="2"/>
      </rPr>
      <t>Webber and Threemile Pond Management Development</t>
    </r>
    <r>
      <rPr>
        <sz val="12"/>
        <rFont val="Arial"/>
        <family val="2"/>
      </rPr>
      <t xml:space="preserve"> - monitoring and obtaining internal Phosphorus loading sampling</t>
    </r>
  </si>
  <si>
    <r>
      <rPr>
        <b/>
        <sz val="12"/>
        <rFont val="Arial"/>
        <family val="2"/>
      </rPr>
      <t>Willard Beach Outfall NPS Management</t>
    </r>
    <r>
      <rPr>
        <sz val="12"/>
        <rFont val="Arial"/>
        <family val="2"/>
      </rPr>
      <t xml:space="preserve"> - the project will line approximately 1200 linear feet of pipe.</t>
    </r>
  </si>
  <si>
    <t xml:space="preserve">DRAFT FFY 2024 CWSRF Stormwater and Nonpoint Source </t>
  </si>
  <si>
    <r>
      <rPr>
        <b/>
        <sz val="12"/>
        <rFont val="Arial"/>
        <family val="2"/>
      </rPr>
      <t>Stream Crossing  Resilience Survey</t>
    </r>
    <r>
      <rPr>
        <sz val="12"/>
        <rFont val="Arial"/>
        <family val="2"/>
      </rPr>
      <t xml:space="preserve"> -will include an environmental &amp; stability assessment on the Town's culverts.  The Town will still use the funds to assess culverts but will prioritize assessing culverts in areas that contain waters that are impaired or threatened. The Town will work with the selected contractor as well as in-kind staff time to maximize the number of culverts inspected with the funds awarded.</t>
    </r>
  </si>
  <si>
    <t>I</t>
  </si>
  <si>
    <t xml:space="preserve">I </t>
  </si>
  <si>
    <t>Total 2024
Assistance
Provided</t>
  </si>
  <si>
    <t xml:space="preserve">BIL Emerging Contaminant (6) </t>
  </si>
  <si>
    <t>Bingham, Town of (212)</t>
  </si>
  <si>
    <t>Dexter, Town of (212)</t>
  </si>
  <si>
    <t>Ogunquit Sewer District (212)</t>
  </si>
  <si>
    <t>Southwest Harbor Water &amp; Sewer District (212)</t>
  </si>
  <si>
    <t>Saint Agatha, Town of (212)</t>
  </si>
  <si>
    <t>Westbrook, City of (212)</t>
  </si>
  <si>
    <t>(5) Climate Adaptation Plan PF is limited to $25,000 per Applicant</t>
  </si>
  <si>
    <t>North Windham WWTF - a new collection system and advanced membrane filtration treatment plant serving the North Windham area, along with treated water recharge to a groundwater drip dispersal system located adjacent to the plant. The Town of Windham has been investigating the development of a centralized wastewater collection, treatment and disposal system in North Windham for over 50 years. This project is critical for sustaining economic development while reducing pollution to the aquifer and impacts to the surrounding valuable water resources. Increasing nitrate nitrogen levels have been observed in the underlying aquifer over the past 20 years that threaten the health of valuable local water resources.</t>
  </si>
  <si>
    <t>Saco Water Resource Recovery - resilient to the effects of sea level rise, flooding, and climate change with a sustainable conceptual design for the City's future. In addition, this project will account for aniticpated nutrient removal requirements and allow for a reduction in CSO discharges. The use of an innovative wastewater technology - aerobic granular sludge - will increase wet weather treatment capacity, allow for restoration of greenspace land for existing Riverwalk enhancements, and conserve up to 50% energy over conventional treatment systems, all within a smaller footprint. Older infrastructure will be retrofitted were feasible, while new infrastructure will be sited in locations and elevations that will make the facility resilient to climate impacts.</t>
  </si>
  <si>
    <t xml:space="preserve">WWTP Upgrade to Secondary Treatment - The purpose of this project is to complete the mandated upgrade to the District's wastewater treatment plant to secondary treatment. </t>
  </si>
  <si>
    <t xml:space="preserve">Maine Centralized PFAS Mitigation Facility - phase 1 of the project to include aeration lagoon upgrades, new diffused aeration, new treatment building to house blowers, chemical storage and injection, PFAS foam fractionation system, a DAF for tertiary treatment, lab, tankage, pumping, cell 3 outlet relocation, etc.  The project will improve treatment, solids management and processing and provide for PFAS removal below drinking water standards prior to discharge. </t>
  </si>
  <si>
    <t>Outfall Replacement - The existing outfall pipe has been repeatedly damaged by recent storms and requires complete replacement. Historically, the outfall has repeatedly become separated due to wave action, severe coastal storms, and marine traffic including nearby MDOT operated ferries.</t>
  </si>
  <si>
    <t xml:space="preserve">Reduce the non-point source pollution from timber harvesting. This program allows the CWSRF to encourage Best Management Practices in timber harvesting to protect water quality. </t>
  </si>
  <si>
    <t>N/A</t>
  </si>
  <si>
    <t>CSO &amp; Stormwater Management Improvements - Chaffee Brook PS upgrade cost overage and sunset hieghts sewer separation and storm drainage improvements</t>
  </si>
  <si>
    <t xml:space="preserve">Windham School Conveyance - eliminate its outfall to the Pleasant River, and construct sewer infrastructure (over four miles of sewer and at least pump stations\ to convey wastewater to Portland Water District's new North Windham WWTF. </t>
  </si>
  <si>
    <t>Commerical St. Phase 2 - Excess flows currently impact the wastewater treatment plant during high groundwater infiltration and storm inflow events. This reduces treatment efficiency and adds operating cost.</t>
  </si>
  <si>
    <t>Water Resource Recovery Facility - construction of a new wastewater  Facility and appurtenant collection system improvements</t>
  </si>
  <si>
    <t>Commercial Street PS upgrades per the CAP - risk of localized flooding or ponding, exacerbated localized flooding (from coastal influences), accessibility issues, SSOs, CSOs, and increased I/I to pump station.</t>
  </si>
  <si>
    <t>Collection System Excess Flow Reduction - Replace and repair select locations of leaking manholes and sewers on Front, Main, Kennebec, Weymouth, Depot, Tallman, &amp; Pleasant Streets.</t>
  </si>
  <si>
    <t>Elm Street CSO Separation - 3,000 LF of new storm drain, which will provide stormwater conveyance capacity for the Elm Street watershed, the Saco River outfall, and for future upstream separation projects. This project will provide separation of approximately 5 catch basins on Hooper Street. The proposed storm drain along Elm Street will be 42” in diameter, and the Hooper Street storm drain will be 15” to 18”.</t>
  </si>
  <si>
    <t>WWTF &amp; Collection System Resiliency Upgrades - Treatment facility, PS and collection system resilency upgrades in several locations.</t>
  </si>
  <si>
    <t xml:space="preserve">WWTP Improvements - 40 year old treatment facility upgrade and the addition of phosphorus treatment needed to meet the current permit. </t>
  </si>
  <si>
    <t xml:space="preserve">East End WWTF Dewatering Improvements - dewatering equipment upgrades, sludge conveyance upgrades, odor control upgrades and polymer storage upgrades to assist in PFAS removal. </t>
  </si>
  <si>
    <t>Souadbscook PS Replacement &amp; Metering - Replacement of this pump station is an immediate action item to replace in our FSP due to its age and lack of redundancy in controls.</t>
  </si>
  <si>
    <t>High St., Church, Court, Park and Pearl St. Area Sewer Improvements and Telemetry Upgrade - evaluate and improve its pump station telemetry and modernize it to provide timely notifications of issues to the operators</t>
  </si>
  <si>
    <t xml:space="preserve">Collection System Rehabilitation - removes 81.5 acres of stormdrain subcatchment area, and CSO separation.  </t>
  </si>
  <si>
    <t>Step Screen Installation - install new step screen in the headworks.</t>
  </si>
  <si>
    <t xml:space="preserve">Pleasant St. PS Upgrades - over 35 year old PS  upgrade, replace controls, pumps, site surface water control. </t>
  </si>
  <si>
    <t>Flood Mitigation System Upgrades - Town Wide Flow Mitigation at Pump Stations</t>
  </si>
  <si>
    <t>Main St. Sewer Improvements - replace 3400 linear feet of the existing sanitary sewer on Main Street between its intersections with Pine Street and Island Avenue. This sewer is mostly old vitrified clay pipe which is in poor condition and is subject to infiltration.</t>
  </si>
  <si>
    <t>Small PS Upgrades &amp; Main Rd North Sewer Replacement - pump and control replacements plus sewer replacement</t>
  </si>
  <si>
    <t>WWTP Relocation - relocate the existing wastewater treatment plant from Cow Island, which is in a floodplain, to a non floodplain location.</t>
  </si>
  <si>
    <t xml:space="preserve">Alfred Street CSO Separation Phase 3 - 1,800 LF of new storm drain along Alfred Street, Porter Street, and Mt. Vernon Street, and will separate approximately 22 catch basins. 15” and 18” storm drains will convey flows from the project area to a 36” storm drain beginning at Alfred Street and Mt. Vernon Street. </t>
  </si>
  <si>
    <t>Force Main Replacement - replace the deteriorated force mains on Mast Landing Road and Route 1 where there have been 13 breaks leading to SSOs in the past 2 years.</t>
  </si>
  <si>
    <t xml:space="preserve">East Falmouth Climate Resiliency - PS and Sewer upgrades in mulitple areas as identified in the Climate Adaptation Plan. </t>
  </si>
  <si>
    <t>WWTF Upgrades - influent pump station, a critical part of
the overall wastewater system. The installation of a new wet well and submersible raw sewage pumps, construction of a new building to house a new influent screen which will remove material (e.g., rags, sticks, etc.) from the wastewater stream and flood protection measures at the buildings will make the pump station more reliable and less prone to possible overflows into the nearby Salmon Falls River. Construction of new septage receiving facility (including new acceptance and storage) to replace the manual screening and septage handling facilities that require significant manual oversight/handling by operators and do not provide any operator control of septage discharge to the wastewater treatment facility and replacement of existing sludge dewatering equipment which is critical to septage acceptance and sludge handling/disposal at the WWTF.</t>
  </si>
  <si>
    <t>WWTF Sludge HandlingSystem Upgrade - new dewatering building, improvements to the existing outdoor sludge storage tanks, and installation of odor control equipment which is important given proximity of the treatment facility to residents.</t>
  </si>
  <si>
    <t xml:space="preserve">New WWTF and Collection System - construct a gravity sewer collection system in up to three targeted areas of downtown, as well as either secondary treatment and subsurface or secondary, and tertiary treatment and surface water effluent disposal. </t>
  </si>
  <si>
    <t xml:space="preserve">Wastewater System Upgrades - emoving and disposing of sludge, new in-lagoon aeration, new liners, replace failed headworks screen, and renewal 3 pump stations in the collection system. </t>
  </si>
  <si>
    <t>WWTF &amp; PS Resiliency Improvements - replace aging equipment, make operations more reliable and provide resiliency for
vulnerable sewer infrastructure. The Town of Vinalhaven lies approximately 13 miles off the coast of Rockland and is the largest island in Penobscot Bay</t>
  </si>
  <si>
    <t>Wastewater System Upgrades - leaning plugged lagoon underdrain that could lead to floating liners when lagoon emptied, removing, dewatering, and disposing of sludge, replacing liners, developing a basic SCADA program, updated the system telemetry, and repair some manhole brick risers that are failing and allowing water, grit, and debris into the collection system.</t>
  </si>
  <si>
    <t>Corinna Headwork Influent PS Replacement - pump replacement</t>
  </si>
  <si>
    <t xml:space="preserve">Millinocket Main PS Upgrade - replacing headworks screen, adding a bin for screenings, replacing three pumps and Motor Control Center (MCC), add VFD's, and replace large valves and flow meters. </t>
  </si>
  <si>
    <t>Stonington Supplemental Storage Tank - install a second septic tank in addition to the existing tank to act as primary treatment for a portion of the collection system.</t>
  </si>
  <si>
    <t>WWTF Process Upgrade - Upgrade of four existing wastewater pumping stations and existing wastewater treatment facility.</t>
  </si>
  <si>
    <t xml:space="preserve">WWTF &amp; PS Upgrades -  upgrading high voltage and outdated electrical equipment that repair parts that are extremely difficult to find; relocating staff out of the shared office space with the high voltage electrical equipment to meet code and safety requirements; installation of a new, permanent outdoor generator to better manage climate change impacts; replacement of existing aeration blowers to improve reliability and energy efficiency; replacement of piping and aeration equipment in the lagoons to enhance the treatment process; and removal and disposal of sludge accumulated in the lagoons since the previous sludge removal project 20 years ago. Sludge disposal costs have increased due to PFAS regulations in Maine. </t>
  </si>
  <si>
    <t>Deep valve Water &amp; Sewer Main Replacement - Emery Corner Road – 400 feet of sewer and Central Avenue – 800 feet of sewer</t>
  </si>
  <si>
    <t>East End WWTF - Return Sludge Piping, Headworks Conveyance &amp; HVAC Upgrades</t>
  </si>
  <si>
    <t>Lagoon Aeration Upgrade - sources have increased the loading to the plant and the District wants to increase available treatment capacity by adding aeration to their existing lagoon to prevent the plant BOD loading capacity from being exceeded.</t>
  </si>
  <si>
    <t>Chlorine Contact Tank Modifications - add piping and gates to allow the present chlorine contact tank to be divided into two sections. This would improve a problematic detention time issue, reduce solids settling, enhance the ability to clean the tank, and reduce the chlorine demand caused by settled solids.</t>
  </si>
  <si>
    <t>Icefluent Discharge System - modifying the effluent piping and constructing a buried discharge line and ice spray area, the District will be able to discharge during the winter to reduce this risk.</t>
  </si>
  <si>
    <t>Dublin Sewer (Route 1) Extension and Pump Station - extend the gravity sewer main along Route 1 (Dublin Street). Due to local elevations, a pump station will also be required to be constructed.</t>
  </si>
  <si>
    <t>Route 90 Sewer Extension - construction of 2 miles of sewer and one pump station consisting of a below-grade wet well housing submersible pumps and a separate below-grade valve vault with a small electrical enclosure located at grade to house electrical and control equipment. Connection to public sewer is critical to the future development proposed down the Route 90 corridor and the planned growth of the Town of Rockport in an environmentally responsible manner. The project area is known to have poorly draining soils and shallow ledge, making individual septic systems costly and prone to failure.</t>
  </si>
  <si>
    <t>JER</t>
  </si>
  <si>
    <t>CTC</t>
  </si>
  <si>
    <t xml:space="preserve">
AIS
Req'd. or BABA</t>
  </si>
  <si>
    <t>FSP
(Self-Cert.
or
Loan Cert.)</t>
  </si>
  <si>
    <t>C&amp;E 
(Req'd or Rcvd)</t>
  </si>
  <si>
    <t xml:space="preserve"> Final 2024 CWSRF Infrastructure - Working List </t>
  </si>
  <si>
    <t>KLH</t>
  </si>
  <si>
    <t>BAB</t>
  </si>
  <si>
    <t>ZEL</t>
  </si>
  <si>
    <t>Project Tracking</t>
  </si>
  <si>
    <t>C230-NPS060-01</t>
  </si>
  <si>
    <t>C230-NPS117-01</t>
  </si>
  <si>
    <t>SEH</t>
  </si>
  <si>
    <t>CWSRF Project Number</t>
  </si>
  <si>
    <t>BILS075-01</t>
  </si>
  <si>
    <t>BILS043-01</t>
  </si>
  <si>
    <t>BILS225-02</t>
  </si>
  <si>
    <t>BILS092-02</t>
  </si>
  <si>
    <t>BILS078-01</t>
  </si>
  <si>
    <t>C230315-03, BILS315-02</t>
  </si>
  <si>
    <t>C230329-02, BILS329-02</t>
  </si>
  <si>
    <t>BILS175-01</t>
  </si>
  <si>
    <t>C230217-06, BILS217-02</t>
  </si>
  <si>
    <t>BILS335-01</t>
  </si>
  <si>
    <t>BILS085-02</t>
  </si>
  <si>
    <t>C230159-08, BILS159-03</t>
  </si>
  <si>
    <t>Lewiston-Auburn Clean Water Authority (LACWA)</t>
  </si>
  <si>
    <t xml:space="preserve"> BILS147-03</t>
  </si>
  <si>
    <t>DEP SW/NPS</t>
  </si>
  <si>
    <t>Addie Halligan</t>
  </si>
  <si>
    <t>Alex Wong</t>
  </si>
  <si>
    <t>Tracy Krueger</t>
  </si>
  <si>
    <t>Kristin Feindel</t>
  </si>
  <si>
    <t>AIS</t>
  </si>
  <si>
    <t>C230-NPS334-01</t>
  </si>
  <si>
    <t>Kennebec County Soil &amp; Water Conservation District (319)</t>
  </si>
  <si>
    <t>CSO &amp; Safety Improvements - forty-year-old influent pump station at the treatment plant will be retrofitted to restore its original 1.5 MGD capacity to maximize flow into the plant and eliminate the safety concern of an elevator to the deep dry well. The purpose of this project is to reduce CSO discharges by eliminating 1/1 sources and maximizing flow into the plant, while addressing a safety issue.</t>
  </si>
  <si>
    <t>BILS107-01A&amp;B</t>
  </si>
  <si>
    <t>C230-NPS334-02</t>
  </si>
  <si>
    <t>BILS064-01</t>
  </si>
  <si>
    <t>Total project cost is $300k for an I/I study AND an FSP. Turned the SRF down.</t>
  </si>
  <si>
    <t>BILS294-02</t>
  </si>
  <si>
    <t>BILS326-01</t>
  </si>
  <si>
    <t>BILS261-01, BILS261-02</t>
  </si>
  <si>
    <t>BILS307-01</t>
  </si>
  <si>
    <t>BILE123-02</t>
  </si>
  <si>
    <t>BILE288-01</t>
  </si>
  <si>
    <t>BILE118-01</t>
  </si>
  <si>
    <t>Only Receiving $20K b/c not coastal</t>
  </si>
  <si>
    <t>WWTF Phase 2 - Renewing 3 pump stations with all new pumps, valves, controls, telemetry, etc.  Adding a generator to PS 1, upgrading the WWTP operations building and site pavement, replacing pumps and valve in 3 small simplex grinder pump stations, renewing the irrigation pump station. (PF Only BMP)</t>
  </si>
  <si>
    <t>Unfunded Mulit-year applicants (3rd or more)</t>
  </si>
  <si>
    <t>Resiliency</t>
  </si>
  <si>
    <t>2025 Allocations</t>
  </si>
  <si>
    <t xml:space="preserve">Low </t>
  </si>
  <si>
    <t>Medium</t>
  </si>
  <si>
    <t>High</t>
  </si>
  <si>
    <t>Resiliency Score</t>
  </si>
  <si>
    <t>Income 2023</t>
  </si>
  <si>
    <t>Central Aroostook UT, Aroostook County, Maine</t>
  </si>
  <si>
    <t>-</t>
  </si>
  <si>
    <t>**</t>
  </si>
  <si>
    <t>Criehaven UT, Knox County, Maine</t>
  </si>
  <si>
    <t>Frenchboro town, Hancock County, Maine</t>
  </si>
  <si>
    <t>Glenwood plantation, Aroostook County, Maine</t>
  </si>
  <si>
    <t>Hibberts gore, Lincoln County, Maine</t>
  </si>
  <si>
    <t>Isle au Haut town, Knox County, Maine</t>
  </si>
  <si>
    <t>Kingsbury plantation, Piscataquis County, Maine</t>
  </si>
  <si>
    <t>Lake View plantation, Piscataquis County, Maine</t>
  </si>
  <si>
    <t>Louds Island UT, Lincoln County, Maine</t>
  </si>
  <si>
    <t>Marshall Island UT, Hancock County, Maine</t>
  </si>
  <si>
    <t>Monhegan plantation, Lincoln County, Maine</t>
  </si>
  <si>
    <t>Moro plantation, Aroostook County, Maine</t>
  </si>
  <si>
    <t>Muscle Ridge Islands UT, Knox County, Maine</t>
  </si>
  <si>
    <t>North Franklin UT, Franklin County, Maine</t>
  </si>
  <si>
    <t>North Oxford UT, Oxford County, Maine</t>
  </si>
  <si>
    <t>Northwest Aroostook UT, Aroostook County, Maine</t>
  </si>
  <si>
    <t>Northwest Hancock UT, Hancock County, Maine</t>
  </si>
  <si>
    <t>Northwest Piscataquis UT, Piscataquis County, Maine</t>
  </si>
  <si>
    <t>Northwest Somerset UT, Somerset County, Maine</t>
  </si>
  <si>
    <t>Orient town, Aroostook County, Maine</t>
  </si>
  <si>
    <t>Penobscot Indian Island Reservation, Aroostook County, Maine</t>
  </si>
  <si>
    <t>Perkins UT, Sagadahoc County, Maine</t>
  </si>
  <si>
    <t>Seboomook Lake UT, Somerset County, Maine</t>
  </si>
  <si>
    <t>Southeast Piscataquis UT, Piscataquis County, Maine</t>
  </si>
  <si>
    <t>Twombly Ridge UT, Penobscot County, Maine</t>
  </si>
  <si>
    <t>West Central Franklin UT, Franklin County, Maine</t>
  </si>
  <si>
    <t>West Forks plantation, Somerset County, Maine</t>
  </si>
  <si>
    <t>Whitney UT, Penobscot County, Maine</t>
  </si>
  <si>
    <t>Wyman UT, Franklin County, Maine</t>
  </si>
  <si>
    <t>2023 rate = 519; MHI = 50,269</t>
  </si>
  <si>
    <t>2022 rate = 411; MHI = 62,857</t>
  </si>
  <si>
    <t>2023 rate = 441; MHI = 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</si>
</sst>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quot;$&quot;#,##0"/>
    <numFmt numFmtId="165" formatCode="0.0"/>
    <numFmt numFmtId="166" formatCode="#,##0.00000000"/>
    <numFmt numFmtId="167" formatCode="0.0%"/>
    <numFmt numFmtId="168" formatCode="_(* #,##0_);_(* \(#,##0\);_(* &quot;-&quot;??_);_(@_)"/>
    <numFmt numFmtId="169" formatCode="&quot;$&quot;#,##0.00"/>
    <numFmt numFmtId="170" formatCode="m/d/yy;@"/>
    <numFmt numFmtId="171" formatCode="_(&quot;$&quot;* #,##0_);_(&quot;$&quot;* \(#,##0\);_(&quot;$&quot;* &quot;-&quot;??_);_(@_)"/>
    <numFmt numFmtId="172" formatCode="mm/dd/yy;@"/>
    <numFmt numFmtId="173" formatCode="[$-409]d\-mmm\-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Arial"/>
      <family val="2"/>
    </font>
    <font>
      <b/>
      <sz val="11"/>
      <color rgb="FFFF0000"/>
      <name val="Calibri"/>
      <family val="2"/>
    </font>
    <font>
      <sz val="11"/>
      <color rgb="FF000000"/>
      <name val="Calibri"/>
      <family val="2"/>
    </font>
    <font>
      <b/>
      <sz val="11"/>
      <color rgb="FF000000"/>
      <name val="Calibri"/>
      <family val="2"/>
    </font>
    <font>
      <sz val="10"/>
      <color rgb="FF000000"/>
      <name val="Calibri"/>
      <family val="2"/>
    </font>
    <font>
      <b/>
      <sz val="12"/>
      <color rgb="FF000000"/>
      <name val="Calibri"/>
      <family val="2"/>
    </font>
    <font>
      <u/>
      <sz val="11"/>
      <color rgb="FF000000"/>
      <name val="Calibri"/>
      <family val="2"/>
    </font>
    <font>
      <b/>
      <sz val="11"/>
      <color rgb="FF4F6228"/>
      <name val="Calibri"/>
      <family val="2"/>
    </font>
    <font>
      <b/>
      <sz val="11"/>
      <color rgb="FFE26B0A"/>
      <name val="Calibri"/>
      <family val="2"/>
    </font>
    <font>
      <b/>
      <u/>
      <sz val="11"/>
      <color rgb="FF000000"/>
      <name val="Calibri"/>
      <family val="2"/>
    </font>
    <font>
      <b/>
      <sz val="24"/>
      <name val="Arial"/>
      <family val="2"/>
    </font>
    <font>
      <b/>
      <sz val="12"/>
      <color rgb="FFFF0000"/>
      <name val="Calibri"/>
      <family val="2"/>
    </font>
    <font>
      <sz val="11"/>
      <color rgb="FFFF0000"/>
      <name val="Calibri"/>
      <family val="2"/>
      <scheme val="minor"/>
    </font>
    <font>
      <b/>
      <sz val="22"/>
      <name val="Arial"/>
      <family val="2"/>
    </font>
    <font>
      <vertAlign val="superscript"/>
      <sz val="11"/>
      <color rgb="FF000000"/>
      <name val="Calibri"/>
      <family val="2"/>
    </font>
    <font>
      <sz val="12"/>
      <color rgb="FF000000"/>
      <name val="Calibri"/>
      <family val="2"/>
    </font>
    <font>
      <strike/>
      <sz val="11"/>
      <color rgb="FF000000"/>
      <name val="Calibri"/>
      <family val="2"/>
    </font>
    <font>
      <b/>
      <sz val="11"/>
      <name val="Arial"/>
      <family val="2"/>
    </font>
    <font>
      <sz val="22"/>
      <name val="Arial"/>
      <family val="2"/>
    </font>
    <font>
      <b/>
      <i/>
      <sz val="12"/>
      <color rgb="FF000000"/>
      <name val="Calibri"/>
      <family val="2"/>
    </font>
    <font>
      <b/>
      <sz val="12"/>
      <name val="Arial"/>
      <family val="2"/>
    </font>
    <font>
      <b/>
      <sz val="14"/>
      <name val="Arial"/>
      <family val="2"/>
    </font>
    <font>
      <sz val="10"/>
      <name val="Arial"/>
      <family val="2"/>
    </font>
    <font>
      <b/>
      <sz val="11"/>
      <color theme="1"/>
      <name val="Calibri"/>
      <family val="2"/>
      <scheme val="minor"/>
    </font>
    <font>
      <sz val="8"/>
      <name val="Arial"/>
      <family val="2"/>
    </font>
    <font>
      <sz val="10"/>
      <color rgb="FFFF0000"/>
      <name val="Arial"/>
      <family val="2"/>
    </font>
    <font>
      <b/>
      <i/>
      <sz val="10"/>
      <name val="Arial"/>
      <family val="2"/>
    </font>
    <font>
      <b/>
      <sz val="10"/>
      <color rgb="FFFF0000"/>
      <name val="Arial"/>
      <family val="2"/>
    </font>
    <font>
      <strike/>
      <sz val="12"/>
      <name val="Arial"/>
      <family val="2"/>
    </font>
    <font>
      <strike/>
      <sz val="10"/>
      <name val="Arial"/>
      <family val="2"/>
    </font>
    <font>
      <b/>
      <strike/>
      <sz val="10"/>
      <name val="Arial"/>
      <family val="2"/>
    </font>
    <font>
      <sz val="10"/>
      <name val="Arial"/>
    </font>
    <font>
      <sz val="10"/>
      <color theme="1"/>
      <name val="Arial"/>
      <family val="2"/>
    </font>
    <font>
      <sz val="12"/>
      <color rgb="FFED0000"/>
      <name val="Arial"/>
      <family val="2"/>
    </font>
    <font>
      <sz val="10"/>
      <color rgb="FF505050"/>
      <name val="Arial"/>
      <family val="2"/>
    </font>
    <font>
      <sz val="11"/>
      <color rgb="FF505050"/>
      <name val="Calibri"/>
      <family val="2"/>
      <scheme val="minor"/>
    </font>
    <font>
      <sz val="11"/>
      <color rgb="FF505050"/>
      <name val="Calibri"/>
      <family val="2"/>
    </font>
    <font>
      <b/>
      <sz val="11"/>
      <color rgb="FFA30000"/>
      <name val="Calibri"/>
      <family val="2"/>
    </font>
    <font>
      <sz val="11"/>
      <color rgb="FFF8F8F8"/>
      <name val="Calibri"/>
      <family val="2"/>
    </font>
    <font>
      <b/>
      <sz val="11"/>
      <color rgb="FF1E3500"/>
      <name val="Calibri"/>
      <family val="2"/>
    </font>
    <font>
      <b/>
      <sz val="11"/>
      <color rgb="FF9C1A00"/>
      <name val="Calibri"/>
      <family val="2"/>
    </font>
    <font>
      <sz val="11"/>
      <color rgb="FFD00000"/>
      <name val="Calibri"/>
      <family val="2"/>
      <scheme val="minor"/>
    </font>
  </fonts>
  <fills count="55">
    <fill>
      <patternFill patternType="none"/>
    </fill>
    <fill>
      <patternFill patternType="gray125"/>
    </fill>
    <fill>
      <patternFill patternType="solid">
        <fgColor indexed="41"/>
        <bgColor indexed="64"/>
      </patternFill>
    </fill>
    <fill>
      <patternFill patternType="solid">
        <fgColor rgb="FFC5D9F1"/>
        <bgColor rgb="FF000000"/>
      </patternFill>
    </fill>
    <fill>
      <patternFill patternType="solid">
        <fgColor rgb="FFF2DCDB"/>
        <bgColor rgb="FF000000"/>
      </patternFill>
    </fill>
    <fill>
      <patternFill patternType="solid">
        <fgColor rgb="FFEEECE1"/>
        <bgColor rgb="FF000000"/>
      </patternFill>
    </fill>
    <fill>
      <patternFill patternType="solid">
        <fgColor rgb="FFFFFF66"/>
        <bgColor rgb="FF000000"/>
      </patternFill>
    </fill>
    <fill>
      <patternFill patternType="solid">
        <fgColor rgb="FFEBF1DE"/>
        <bgColor rgb="FF000000"/>
      </patternFill>
    </fill>
    <fill>
      <patternFill patternType="solid">
        <fgColor rgb="FFDCE6F1"/>
        <bgColor rgb="FF000000"/>
      </patternFill>
    </fill>
    <fill>
      <patternFill patternType="solid">
        <fgColor rgb="FFE6B8B7"/>
        <bgColor rgb="FF000000"/>
      </patternFill>
    </fill>
    <fill>
      <patternFill patternType="solid">
        <fgColor rgb="FFFFFF99"/>
        <bgColor rgb="FF000000"/>
      </patternFill>
    </fill>
    <fill>
      <patternFill patternType="solid">
        <fgColor rgb="FFFFC000"/>
        <bgColor rgb="FF000000"/>
      </patternFill>
    </fill>
    <fill>
      <patternFill patternType="solid">
        <fgColor rgb="FFFFFF00"/>
        <bgColor indexed="64"/>
      </patternFill>
    </fill>
    <fill>
      <patternFill patternType="solid">
        <fgColor rgb="FF9CDB99"/>
        <bgColor rgb="FF000000"/>
      </patternFill>
    </fill>
    <fill>
      <patternFill patternType="solid">
        <fgColor theme="2"/>
        <bgColor indexed="64"/>
      </patternFill>
    </fill>
    <fill>
      <patternFill patternType="solid">
        <fgColor rgb="FFFF0000"/>
        <bgColor rgb="FF000000"/>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0"/>
        <bgColor indexed="64"/>
      </patternFill>
    </fill>
    <fill>
      <patternFill patternType="solid">
        <fgColor rgb="FFF79A1D"/>
        <bgColor indexed="64"/>
      </patternFill>
    </fill>
    <fill>
      <patternFill patternType="solid">
        <fgColor rgb="FFF79A1D"/>
        <bgColor rgb="FF000000"/>
      </patternFill>
    </fill>
    <fill>
      <patternFill patternType="solid">
        <fgColor theme="6" tint="0.79998168889431442"/>
        <bgColor indexed="64"/>
      </patternFill>
    </fill>
    <fill>
      <patternFill patternType="solid">
        <fgColor theme="5"/>
        <bgColor indexed="64"/>
      </patternFill>
    </fill>
    <fill>
      <patternFill patternType="solid">
        <fgColor rgb="FF00B050"/>
        <bgColor indexed="64"/>
      </patternFill>
    </fill>
    <fill>
      <patternFill patternType="solid">
        <fgColor rgb="FFFFFF66"/>
        <bgColor indexed="64"/>
      </patternFill>
    </fill>
    <fill>
      <patternFill patternType="solid">
        <fgColor rgb="FF92D050"/>
        <bgColor rgb="FF000000"/>
      </patternFill>
    </fill>
    <fill>
      <patternFill patternType="solid">
        <fgColor theme="5"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499984740745262"/>
        <bgColor indexed="64"/>
      </patternFill>
    </fill>
    <fill>
      <patternFill patternType="solid">
        <fgColor rgb="FF7030A0"/>
        <bgColor rgb="FF000000"/>
      </patternFill>
    </fill>
    <fill>
      <patternFill patternType="solid">
        <fgColor rgb="FF7030A0"/>
        <bgColor indexed="64"/>
      </patternFill>
    </fill>
    <fill>
      <patternFill patternType="solid">
        <fgColor theme="9"/>
        <bgColor indexed="64"/>
      </patternFill>
    </fill>
    <fill>
      <patternFill patternType="solid">
        <fgColor theme="7" tint="0.79998168889431442"/>
        <bgColor indexed="64"/>
      </patternFill>
    </fill>
    <fill>
      <patternFill patternType="solid">
        <fgColor rgb="FF70CB6B"/>
        <bgColor indexed="64"/>
      </patternFill>
    </fill>
    <fill>
      <patternFill patternType="solid">
        <fgColor rgb="FF3FA43A"/>
        <bgColor indexed="64"/>
      </patternFill>
    </fill>
    <fill>
      <patternFill patternType="solid">
        <fgColor rgb="FFC6EAC4"/>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99FF99"/>
        <bgColor indexed="64"/>
      </patternFill>
    </fill>
    <fill>
      <patternFill patternType="solid">
        <fgColor rgb="FF99FF99"/>
        <bgColor rgb="FF000000"/>
      </patternFill>
    </fill>
    <fill>
      <patternFill patternType="solid">
        <fgColor theme="9" tint="0.79998168889431442"/>
        <bgColor indexed="64"/>
      </patternFill>
    </fill>
    <fill>
      <patternFill patternType="solid">
        <fgColor theme="1" tint="0.249977111117893"/>
        <bgColor indexed="64"/>
      </patternFill>
    </fill>
    <fill>
      <patternFill patternType="solid">
        <fgColor rgb="FF9CDB9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auto="1"/>
      </top>
      <bottom/>
      <diagonal/>
    </border>
    <border>
      <left style="thin">
        <color indexed="64"/>
      </left>
      <right/>
      <top style="hair">
        <color auto="1"/>
      </top>
      <bottom/>
      <diagonal/>
    </border>
    <border>
      <left style="thin">
        <color indexed="64"/>
      </left>
      <right/>
      <top style="hair">
        <color auto="1"/>
      </top>
      <bottom style="hair">
        <color auto="1"/>
      </bottom>
      <diagonal/>
    </border>
    <border>
      <left style="thin">
        <color indexed="64"/>
      </left>
      <right style="thin">
        <color indexed="64"/>
      </right>
      <top style="hair">
        <color auto="1"/>
      </top>
      <bottom style="hair">
        <color auto="1"/>
      </bottom>
      <diagonal/>
    </border>
    <border>
      <left/>
      <right/>
      <top/>
      <bottom style="hair">
        <color auto="1"/>
      </bottom>
      <diagonal/>
    </border>
    <border>
      <left/>
      <right/>
      <top style="hair">
        <color auto="1"/>
      </top>
      <bottom style="thin">
        <color indexed="64"/>
      </bottom>
      <diagonal/>
    </border>
    <border>
      <left/>
      <right style="thin">
        <color indexed="64"/>
      </right>
      <top/>
      <bottom style="hair">
        <color auto="1"/>
      </bottom>
      <diagonal/>
    </border>
    <border>
      <left style="thin">
        <color indexed="64"/>
      </left>
      <right style="thin">
        <color indexed="64"/>
      </right>
      <top/>
      <bottom style="hair">
        <color auto="1"/>
      </bottom>
      <diagonal/>
    </border>
    <border>
      <left/>
      <right/>
      <top style="thin">
        <color indexed="64"/>
      </top>
      <bottom/>
      <diagonal/>
    </border>
    <border>
      <left/>
      <right style="thin">
        <color indexed="64"/>
      </right>
      <top/>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bottom style="hair">
        <color auto="1"/>
      </bottom>
      <diagonal/>
    </border>
    <border>
      <left style="thin">
        <color auto="1"/>
      </left>
      <right style="hair">
        <color auto="1"/>
      </right>
      <top/>
      <bottom style="hair">
        <color auto="1"/>
      </bottom>
      <diagonal/>
    </border>
    <border>
      <left style="thin">
        <color auto="1"/>
      </left>
      <right style="hair">
        <color auto="1"/>
      </right>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hair">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2">
    <xf numFmtId="0" fontId="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10" fillId="0" borderId="0"/>
    <xf numFmtId="9" fontId="10"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44" fontId="3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4" fontId="10"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4" fillId="0" borderId="0" applyFont="0" applyFill="0" applyBorder="0" applyAlignment="0" applyProtection="0"/>
  </cellStyleXfs>
  <cellXfs count="782">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left" vertical="center" wrapText="1"/>
    </xf>
    <xf numFmtId="165" fontId="0" fillId="0" borderId="0" xfId="0" applyNumberFormat="1" applyAlignment="1">
      <alignment horizontal="right" vertical="center" wrapText="1"/>
    </xf>
    <xf numFmtId="164" fontId="0" fillId="0" borderId="0" xfId="0" applyNumberFormat="1" applyAlignment="1">
      <alignment horizontal="right" vertical="center" wrapText="1"/>
    </xf>
    <xf numFmtId="10" fontId="0" fillId="0" borderId="0" xfId="0" applyNumberFormat="1" applyAlignment="1">
      <alignment horizontal="right" vertical="center" wrapText="1"/>
    </xf>
    <xf numFmtId="164" fontId="10" fillId="0" borderId="0" xfId="0" applyNumberFormat="1" applyFont="1" applyAlignment="1">
      <alignment horizontal="right" vertical="center" wrapText="1"/>
    </xf>
    <xf numFmtId="0" fontId="0" fillId="0" borderId="0" xfId="0" applyAlignment="1">
      <alignment horizontal="center" vertical="center" wrapText="1"/>
    </xf>
    <xf numFmtId="0" fontId="0" fillId="0" borderId="0" xfId="0" applyAlignment="1">
      <alignment horizontal="left" vertical="center"/>
    </xf>
    <xf numFmtId="0" fontId="12" fillId="0" borderId="1" xfId="0" applyFont="1" applyBorder="1" applyAlignment="1">
      <alignment vertical="center" wrapText="1"/>
    </xf>
    <xf numFmtId="0" fontId="13" fillId="0" borderId="1" xfId="0" applyFont="1" applyBorder="1" applyAlignment="1">
      <alignment vertical="center" wrapText="1"/>
    </xf>
    <xf numFmtId="164" fontId="12" fillId="0" borderId="1" xfId="0" applyNumberFormat="1" applyFont="1" applyBorder="1" applyAlignment="1">
      <alignment horizontal="right" vertical="center" wrapText="1"/>
    </xf>
    <xf numFmtId="10" fontId="12" fillId="0" borderId="1" xfId="0" applyNumberFormat="1" applyFont="1" applyBorder="1" applyAlignment="1">
      <alignment horizontal="right" vertical="center" wrapText="1"/>
    </xf>
    <xf numFmtId="164" fontId="12" fillId="0" borderId="1" xfId="0" applyNumberFormat="1" applyFont="1" applyBorder="1" applyAlignment="1">
      <alignment vertical="center" wrapText="1"/>
    </xf>
    <xf numFmtId="164" fontId="12" fillId="0" borderId="3" xfId="0" applyNumberFormat="1" applyFont="1" applyBorder="1" applyAlignment="1">
      <alignment horizontal="right" vertical="center" wrapText="1"/>
    </xf>
    <xf numFmtId="164" fontId="12" fillId="0" borderId="4" xfId="0" applyNumberFormat="1" applyFont="1" applyBorder="1" applyAlignment="1">
      <alignment horizontal="right"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vertical="center" wrapText="1"/>
    </xf>
    <xf numFmtId="2" fontId="12" fillId="0" borderId="1" xfId="0" applyNumberFormat="1" applyFont="1" applyBorder="1" applyAlignment="1">
      <alignment horizontal="center" vertical="center" wrapText="1"/>
    </xf>
    <xf numFmtId="164" fontId="0" fillId="0" borderId="0" xfId="0" applyNumberFormat="1" applyAlignment="1">
      <alignment horizontal="center" vertical="center" wrapText="1"/>
    </xf>
    <xf numFmtId="164" fontId="10" fillId="0" borderId="0" xfId="0" applyNumberFormat="1" applyFont="1" applyAlignment="1">
      <alignment horizontal="center" vertical="center" wrapText="1"/>
    </xf>
    <xf numFmtId="0" fontId="0" fillId="0" borderId="0" xfId="0" applyAlignment="1">
      <alignment horizontal="center" wrapText="1"/>
    </xf>
    <xf numFmtId="0" fontId="12" fillId="0" borderId="0" xfId="0" applyFont="1" applyAlignment="1">
      <alignment horizontal="left" vertical="center" wrapText="1"/>
    </xf>
    <xf numFmtId="164" fontId="0" fillId="0" borderId="0" xfId="0" applyNumberForma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wrapText="1"/>
    </xf>
    <xf numFmtId="9" fontId="12" fillId="0" borderId="1" xfId="0" applyNumberFormat="1" applyFont="1" applyBorder="1" applyAlignment="1">
      <alignment horizontal="center" vertical="center" wrapText="1"/>
    </xf>
    <xf numFmtId="0" fontId="10" fillId="0" borderId="6" xfId="0" applyFont="1" applyBorder="1" applyAlignment="1">
      <alignment horizontal="center" vertical="center" wrapText="1"/>
    </xf>
    <xf numFmtId="164" fontId="10" fillId="0" borderId="3" xfId="0" applyNumberFormat="1" applyFont="1" applyBorder="1" applyAlignment="1">
      <alignment horizontal="right"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xf numFmtId="0" fontId="0" fillId="0" borderId="0" xfId="0" applyAlignment="1">
      <alignment vertical="center"/>
    </xf>
    <xf numFmtId="164" fontId="10" fillId="0" borderId="1" xfId="0" applyNumberFormat="1" applyFont="1" applyBorder="1" applyAlignment="1">
      <alignment horizontal="right" vertical="center" wrapText="1"/>
    </xf>
    <xf numFmtId="10" fontId="10"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0" fillId="0" borderId="0" xfId="0" applyNumberFormat="1" applyAlignment="1">
      <alignment wrapText="1"/>
    </xf>
    <xf numFmtId="0" fontId="0" fillId="0" borderId="0" xfId="0" applyAlignment="1">
      <alignment horizontal="right" vertical="center"/>
    </xf>
    <xf numFmtId="164" fontId="11" fillId="0" borderId="0" xfId="0" applyNumberFormat="1" applyFont="1" applyAlignment="1">
      <alignment horizontal="center" vertical="center" wrapText="1"/>
    </xf>
    <xf numFmtId="2" fontId="0" fillId="0" borderId="0" xfId="0" applyNumberFormat="1" applyAlignment="1">
      <alignment horizontal="center" vertical="center" wrapText="1"/>
    </xf>
    <xf numFmtId="2" fontId="10" fillId="0" borderId="0" xfId="0" applyNumberFormat="1" applyFont="1" applyAlignment="1">
      <alignment horizontal="right" vertical="center" wrapText="1"/>
    </xf>
    <xf numFmtId="2" fontId="0" fillId="0" borderId="0" xfId="0" applyNumberFormat="1" applyAlignment="1">
      <alignment wrapText="1"/>
    </xf>
    <xf numFmtId="2" fontId="0" fillId="0" borderId="0" xfId="0" applyNumberFormat="1" applyAlignment="1">
      <alignment horizontal="center" vertical="center"/>
    </xf>
    <xf numFmtId="2" fontId="0" fillId="0" borderId="0" xfId="0" applyNumberFormat="1" applyAlignment="1">
      <alignment horizontal="left" vertical="center" wrapText="1"/>
    </xf>
    <xf numFmtId="164" fontId="12"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1" fillId="0" borderId="0" xfId="0" applyFont="1" applyAlignment="1">
      <alignment wrapText="1"/>
    </xf>
    <xf numFmtId="164" fontId="12" fillId="20" borderId="1" xfId="0" applyNumberFormat="1" applyFont="1" applyFill="1" applyBorder="1" applyAlignment="1">
      <alignment horizontal="right" vertical="center" wrapText="1"/>
    </xf>
    <xf numFmtId="164" fontId="10" fillId="20" borderId="1" xfId="0" applyNumberFormat="1" applyFont="1" applyFill="1" applyBorder="1" applyAlignment="1">
      <alignment horizontal="center" vertical="center" wrapText="1"/>
    </xf>
    <xf numFmtId="0" fontId="23" fillId="0" borderId="0" xfId="0" applyFont="1" applyAlignment="1">
      <alignment horizontal="center" vertical="center" wrapText="1"/>
    </xf>
    <xf numFmtId="164" fontId="10" fillId="0" borderId="8" xfId="0" applyNumberFormat="1" applyFont="1" applyBorder="1" applyAlignment="1">
      <alignment horizontal="right" vertical="center"/>
    </xf>
    <xf numFmtId="164" fontId="10" fillId="0" borderId="4" xfId="0" applyNumberFormat="1" applyFont="1" applyBorder="1" applyAlignment="1">
      <alignment horizontal="right" vertical="center"/>
    </xf>
    <xf numFmtId="10" fontId="0" fillId="0" borderId="0" xfId="0" applyNumberFormat="1" applyAlignment="1">
      <alignment horizontal="right" vertical="center"/>
    </xf>
    <xf numFmtId="164" fontId="12" fillId="23" borderId="1" xfId="0" applyNumberFormat="1" applyFont="1" applyFill="1" applyBorder="1" applyAlignment="1">
      <alignment horizontal="right" vertical="center" wrapText="1"/>
    </xf>
    <xf numFmtId="170" fontId="0" fillId="0" borderId="0" xfId="0" applyNumberFormat="1" applyAlignment="1">
      <alignment wrapText="1"/>
    </xf>
    <xf numFmtId="170" fontId="11" fillId="0" borderId="0" xfId="0" applyNumberFormat="1" applyFont="1" applyAlignment="1">
      <alignment wrapText="1"/>
    </xf>
    <xf numFmtId="170" fontId="0" fillId="0" borderId="0" xfId="0" applyNumberFormat="1"/>
    <xf numFmtId="170" fontId="10" fillId="0" borderId="1" xfId="0" applyNumberFormat="1" applyFont="1" applyBorder="1" applyAlignment="1">
      <alignment horizontal="center" vertical="center" wrapText="1"/>
    </xf>
    <xf numFmtId="0" fontId="12" fillId="0" borderId="5" xfId="0" applyFont="1" applyBorder="1" applyAlignment="1">
      <alignment vertical="center" wrapText="1"/>
    </xf>
    <xf numFmtId="0" fontId="10" fillId="0" borderId="0" xfId="0" applyFont="1" applyAlignment="1">
      <alignment horizontal="center" vertical="center" wrapText="1"/>
    </xf>
    <xf numFmtId="10" fontId="12" fillId="0" borderId="0" xfId="0" applyNumberFormat="1" applyFont="1" applyAlignment="1">
      <alignment horizontal="right" vertical="center" wrapText="1"/>
    </xf>
    <xf numFmtId="0" fontId="30" fillId="0" borderId="0" xfId="0" applyFont="1" applyAlignment="1">
      <alignment horizontal="left" vertical="center" wrapText="1"/>
    </xf>
    <xf numFmtId="164" fontId="30" fillId="0" borderId="0" xfId="0" applyNumberFormat="1" applyFont="1" applyAlignment="1">
      <alignment horizontal="center" vertical="center" wrapText="1"/>
    </xf>
    <xf numFmtId="170" fontId="30" fillId="0" borderId="0" xfId="0" applyNumberFormat="1" applyFont="1" applyAlignment="1">
      <alignment horizontal="center" vertical="center" wrapText="1"/>
    </xf>
    <xf numFmtId="0" fontId="30" fillId="0" borderId="0" xfId="0" applyFont="1" applyAlignment="1">
      <alignment wrapText="1"/>
    </xf>
    <xf numFmtId="0" fontId="30" fillId="0" borderId="0" xfId="0" applyFont="1" applyAlignment="1">
      <alignment horizontal="center" vertical="center" wrapText="1"/>
    </xf>
    <xf numFmtId="0" fontId="30" fillId="0" borderId="0" xfId="0" applyFont="1" applyAlignment="1">
      <alignment vertical="center" wrapText="1"/>
    </xf>
    <xf numFmtId="164" fontId="30" fillId="0" borderId="0" xfId="0" applyNumberFormat="1" applyFont="1" applyAlignment="1">
      <alignment horizontal="right" vertical="center" wrapText="1"/>
    </xf>
    <xf numFmtId="10" fontId="30" fillId="0" borderId="0" xfId="0" applyNumberFormat="1" applyFont="1" applyAlignment="1">
      <alignment horizontal="right" vertical="center" wrapText="1"/>
    </xf>
    <xf numFmtId="170" fontId="30" fillId="0" borderId="0" xfId="0" applyNumberFormat="1" applyFont="1" applyAlignment="1">
      <alignment wrapText="1"/>
    </xf>
    <xf numFmtId="0" fontId="30" fillId="0" borderId="26" xfId="0" applyFont="1" applyBorder="1" applyAlignment="1">
      <alignment horizontal="left" vertical="center" wrapText="1"/>
    </xf>
    <xf numFmtId="0" fontId="30" fillId="0" borderId="5" xfId="0" applyFont="1" applyBorder="1" applyAlignment="1">
      <alignment vertical="center" wrapText="1"/>
    </xf>
    <xf numFmtId="2" fontId="30" fillId="0" borderId="26" xfId="0" applyNumberFormat="1" applyFont="1" applyBorder="1" applyAlignment="1">
      <alignment horizontal="center" vertical="center" wrapText="1"/>
    </xf>
    <xf numFmtId="0" fontId="30" fillId="0" borderId="26" xfId="0" applyFont="1" applyBorder="1" applyAlignment="1">
      <alignment vertical="center" wrapText="1"/>
    </xf>
    <xf numFmtId="0" fontId="30" fillId="0" borderId="26" xfId="0" applyFont="1" applyBorder="1" applyAlignment="1">
      <alignment horizontal="center" vertical="center" wrapText="1"/>
    </xf>
    <xf numFmtId="164" fontId="30" fillId="0" borderId="26" xfId="0" applyNumberFormat="1" applyFont="1" applyBorder="1" applyAlignment="1">
      <alignment horizontal="right" vertical="center" wrapText="1"/>
    </xf>
    <xf numFmtId="10" fontId="30" fillId="0" borderId="26" xfId="0" applyNumberFormat="1" applyFont="1" applyBorder="1" applyAlignment="1">
      <alignment horizontal="right" vertical="center" wrapText="1"/>
    </xf>
    <xf numFmtId="164" fontId="30" fillId="0" borderId="26" xfId="0" applyNumberFormat="1" applyFont="1" applyBorder="1" applyAlignment="1">
      <alignment horizontal="center" vertical="center" wrapText="1"/>
    </xf>
    <xf numFmtId="166" fontId="0" fillId="0" borderId="0" xfId="0" applyNumberFormat="1" applyAlignment="1">
      <alignment horizontal="right" vertical="center" wrapText="1"/>
    </xf>
    <xf numFmtId="2" fontId="30" fillId="0" borderId="0" xfId="0" applyNumberFormat="1" applyFont="1" applyAlignment="1">
      <alignment horizontal="center" vertical="center" wrapText="1"/>
    </xf>
    <xf numFmtId="0" fontId="26" fillId="0" borderId="0" xfId="0" applyFont="1" applyAlignment="1">
      <alignment wrapText="1"/>
    </xf>
    <xf numFmtId="0" fontId="31" fillId="0" borderId="0" xfId="0" applyFont="1" applyAlignment="1">
      <alignment wrapText="1"/>
    </xf>
    <xf numFmtId="0" fontId="31" fillId="0" borderId="0" xfId="0" applyFont="1" applyAlignment="1">
      <alignment horizontal="center" vertical="center" wrapText="1"/>
    </xf>
    <xf numFmtId="170" fontId="31" fillId="0" borderId="0" xfId="0" applyNumberFormat="1" applyFont="1" applyAlignment="1">
      <alignment wrapText="1"/>
    </xf>
    <xf numFmtId="165" fontId="30" fillId="0" borderId="0" xfId="0" applyNumberFormat="1" applyFont="1" applyAlignment="1">
      <alignment horizontal="center" vertical="center" wrapText="1"/>
    </xf>
    <xf numFmtId="0" fontId="30" fillId="0" borderId="26" xfId="0" applyFont="1" applyBorder="1" applyAlignment="1">
      <alignment horizontal="right" vertical="center"/>
    </xf>
    <xf numFmtId="0" fontId="30" fillId="0" borderId="0" xfId="0" applyFont="1" applyAlignment="1">
      <alignment horizontal="right" vertical="center"/>
    </xf>
    <xf numFmtId="10" fontId="26" fillId="0" borderId="0" xfId="0" applyNumberFormat="1" applyFont="1" applyAlignment="1">
      <alignment horizontal="center" vertical="center" wrapText="1"/>
    </xf>
    <xf numFmtId="164" fontId="0" fillId="24" borderId="0" xfId="0" applyNumberFormat="1" applyFill="1" applyAlignment="1">
      <alignment horizontal="right" vertical="center" wrapText="1"/>
    </xf>
    <xf numFmtId="164" fontId="0" fillId="24" borderId="0" xfId="0" applyNumberFormat="1" applyFill="1" applyAlignment="1">
      <alignment horizontal="center" vertical="center" wrapText="1"/>
    </xf>
    <xf numFmtId="0" fontId="26" fillId="0" borderId="0" xfId="0" applyFont="1" applyAlignment="1">
      <alignment horizontal="center" vertical="center" wrapText="1"/>
    </xf>
    <xf numFmtId="0" fontId="11" fillId="0" borderId="0" xfId="0" applyFont="1" applyAlignment="1">
      <alignment horizontal="center" vertical="center" wrapText="1"/>
    </xf>
    <xf numFmtId="164" fontId="12" fillId="25" borderId="1" xfId="0" applyNumberFormat="1" applyFont="1" applyFill="1" applyBorder="1" applyAlignment="1">
      <alignment horizontal="right" vertical="center" wrapText="1"/>
    </xf>
    <xf numFmtId="10" fontId="11" fillId="0" borderId="0" xfId="0" applyNumberFormat="1" applyFont="1" applyAlignment="1">
      <alignment horizontal="right" vertical="center" wrapText="1"/>
    </xf>
    <xf numFmtId="164" fontId="11" fillId="28" borderId="0" xfId="0" applyNumberFormat="1" applyFont="1" applyFill="1" applyAlignment="1">
      <alignment horizontal="right" vertical="center" wrapText="1"/>
    </xf>
    <xf numFmtId="0" fontId="11" fillId="0" borderId="0" xfId="0" applyFont="1" applyAlignment="1">
      <alignment vertical="center" wrapText="1"/>
    </xf>
    <xf numFmtId="0" fontId="11" fillId="0" borderId="0" xfId="0" applyFont="1" applyAlignment="1">
      <alignment horizontal="right" vertical="center" wrapText="1"/>
    </xf>
    <xf numFmtId="165" fontId="11" fillId="0" borderId="0" xfId="0" applyNumberFormat="1" applyFont="1" applyAlignment="1">
      <alignment horizontal="right" vertical="center" wrapText="1"/>
    </xf>
    <xf numFmtId="166" fontId="11" fillId="0" borderId="0" xfId="0" applyNumberFormat="1" applyFont="1" applyAlignment="1">
      <alignment horizontal="right" vertical="center" wrapText="1"/>
    </xf>
    <xf numFmtId="3" fontId="11" fillId="0" borderId="0" xfId="0" applyNumberFormat="1" applyFont="1" applyAlignment="1">
      <alignment horizontal="right" vertical="center" wrapText="1"/>
    </xf>
    <xf numFmtId="2" fontId="11" fillId="0" borderId="0" xfId="0" applyNumberFormat="1" applyFont="1" applyAlignment="1">
      <alignment horizontal="center" vertical="center" wrapText="1"/>
    </xf>
    <xf numFmtId="164" fontId="11" fillId="20" borderId="1" xfId="0" applyNumberFormat="1" applyFont="1" applyFill="1" applyBorder="1" applyAlignment="1">
      <alignment horizontal="right" vertical="center" wrapText="1"/>
    </xf>
    <xf numFmtId="164" fontId="11" fillId="0" borderId="1" xfId="0" applyNumberFormat="1" applyFont="1" applyBorder="1" applyAlignment="1">
      <alignment horizontal="right" vertical="center" wrapText="1"/>
    </xf>
    <xf numFmtId="0" fontId="10" fillId="0" borderId="0" xfId="0" applyFont="1" applyAlignment="1">
      <alignment vertical="center" wrapText="1"/>
    </xf>
    <xf numFmtId="0" fontId="12" fillId="0" borderId="0" xfId="0" applyFont="1" applyAlignment="1">
      <alignment horizontal="center" vertical="center" wrapText="1"/>
    </xf>
    <xf numFmtId="170" fontId="0" fillId="0" borderId="0" xfId="0" applyNumberForma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right" vertical="center"/>
    </xf>
    <xf numFmtId="0" fontId="10" fillId="0" borderId="1" xfId="0" applyFont="1" applyBorder="1" applyAlignment="1">
      <alignment vertical="center" wrapText="1"/>
    </xf>
    <xf numFmtId="10" fontId="10" fillId="0" borderId="1" xfId="0" applyNumberFormat="1" applyFont="1" applyBorder="1" applyAlignment="1">
      <alignment horizontal="right" vertical="center" wrapText="1"/>
    </xf>
    <xf numFmtId="164" fontId="11" fillId="20" borderId="2" xfId="0" applyNumberFormat="1" applyFont="1" applyFill="1" applyBorder="1" applyAlignment="1">
      <alignment vertical="center" wrapText="1"/>
    </xf>
    <xf numFmtId="0" fontId="11" fillId="20" borderId="0" xfId="0" applyFont="1" applyFill="1" applyAlignment="1">
      <alignment horizontal="center" vertical="center" wrapText="1"/>
    </xf>
    <xf numFmtId="0" fontId="11" fillId="12" borderId="1" xfId="0" applyFont="1" applyFill="1" applyBorder="1" applyAlignment="1">
      <alignment horizontal="center" vertical="center" wrapText="1"/>
    </xf>
    <xf numFmtId="164" fontId="12" fillId="32" borderId="3" xfId="0" applyNumberFormat="1" applyFont="1" applyFill="1" applyBorder="1" applyAlignment="1">
      <alignment horizontal="right" vertical="center" wrapText="1"/>
    </xf>
    <xf numFmtId="164" fontId="12" fillId="32" borderId="4" xfId="0" applyNumberFormat="1" applyFont="1" applyFill="1" applyBorder="1" applyAlignment="1">
      <alignment horizontal="right" vertical="center" wrapText="1"/>
    </xf>
    <xf numFmtId="0" fontId="10" fillId="32" borderId="4" xfId="0" applyFont="1" applyFill="1" applyBorder="1" applyAlignment="1">
      <alignment horizontal="center" vertical="center" wrapText="1"/>
    </xf>
    <xf numFmtId="0" fontId="12" fillId="32" borderId="4" xfId="0" applyFont="1" applyFill="1" applyBorder="1" applyAlignment="1">
      <alignment horizontal="center" vertical="center" wrapText="1"/>
    </xf>
    <xf numFmtId="2" fontId="12" fillId="32" borderId="4" xfId="0" applyNumberFormat="1" applyFont="1" applyFill="1" applyBorder="1" applyAlignment="1">
      <alignment horizontal="center" vertical="center" wrapText="1"/>
    </xf>
    <xf numFmtId="0" fontId="10" fillId="32" borderId="3" xfId="0" applyFont="1" applyFill="1" applyBorder="1" applyAlignment="1">
      <alignment horizontal="center" vertical="center" wrapText="1"/>
    </xf>
    <xf numFmtId="2" fontId="12" fillId="32" borderId="3" xfId="0" applyNumberFormat="1" applyFont="1" applyFill="1" applyBorder="1" applyAlignment="1">
      <alignment horizontal="center" vertical="center" wrapText="1"/>
    </xf>
    <xf numFmtId="165" fontId="12" fillId="32" borderId="4" xfId="0" applyNumberFormat="1" applyFont="1" applyFill="1" applyBorder="1" applyAlignment="1">
      <alignment horizontal="center" vertical="center" wrapText="1"/>
    </xf>
    <xf numFmtId="164" fontId="10" fillId="32" borderId="3" xfId="0" applyNumberFormat="1" applyFont="1" applyFill="1" applyBorder="1" applyAlignment="1">
      <alignment horizontal="right" vertical="center" wrapText="1"/>
    </xf>
    <xf numFmtId="164" fontId="12" fillId="0" borderId="6" xfId="0" applyNumberFormat="1" applyFont="1" applyBorder="1" applyAlignment="1">
      <alignment horizontal="right" vertical="center" wrapText="1"/>
    </xf>
    <xf numFmtId="0" fontId="12" fillId="0" borderId="26" xfId="0" applyFont="1" applyBorder="1" applyAlignment="1">
      <alignment vertical="center" wrapText="1"/>
    </xf>
    <xf numFmtId="0" fontId="12" fillId="32" borderId="1" xfId="0" applyFont="1" applyFill="1" applyBorder="1" applyAlignment="1">
      <alignment vertical="center" wrapText="1"/>
    </xf>
    <xf numFmtId="2" fontId="12" fillId="32" borderId="1" xfId="0" applyNumberFormat="1" applyFont="1" applyFill="1" applyBorder="1" applyAlignment="1">
      <alignment horizontal="center" vertical="center" wrapText="1"/>
    </xf>
    <xf numFmtId="0" fontId="13" fillId="32" borderId="1" xfId="0" applyFont="1" applyFill="1" applyBorder="1" applyAlignment="1">
      <alignment vertical="center" wrapText="1"/>
    </xf>
    <xf numFmtId="164" fontId="10" fillId="32" borderId="1" xfId="0" applyNumberFormat="1" applyFont="1" applyFill="1" applyBorder="1" applyAlignment="1">
      <alignment horizontal="right" vertical="center" wrapText="1"/>
    </xf>
    <xf numFmtId="10" fontId="12" fillId="32" borderId="1" xfId="0" applyNumberFormat="1" applyFont="1" applyFill="1" applyBorder="1" applyAlignment="1">
      <alignment horizontal="right" vertical="center" wrapText="1"/>
    </xf>
    <xf numFmtId="164" fontId="12" fillId="32" borderId="1" xfId="0" applyNumberFormat="1" applyFont="1" applyFill="1" applyBorder="1" applyAlignment="1">
      <alignment vertical="center" wrapText="1"/>
    </xf>
    <xf numFmtId="164" fontId="12" fillId="0" borderId="4" xfId="0" applyNumberFormat="1" applyFont="1" applyBorder="1" applyAlignment="1">
      <alignment vertical="center" wrapText="1"/>
    </xf>
    <xf numFmtId="164" fontId="10" fillId="32" borderId="1" xfId="0" applyNumberFormat="1" applyFont="1" applyFill="1" applyBorder="1" applyAlignment="1">
      <alignment horizontal="center" vertical="center" wrapText="1"/>
    </xf>
    <xf numFmtId="164" fontId="10" fillId="0" borderId="4" xfId="0" applyNumberFormat="1" applyFont="1" applyBorder="1" applyAlignment="1">
      <alignment horizontal="center" vertical="center" wrapText="1"/>
    </xf>
    <xf numFmtId="0" fontId="10" fillId="32" borderId="1" xfId="0" applyFont="1" applyFill="1" applyBorder="1" applyAlignment="1">
      <alignment horizontal="center" vertical="center" wrapText="1"/>
    </xf>
    <xf numFmtId="0" fontId="12" fillId="32" borderId="1" xfId="0" applyFont="1" applyFill="1" applyBorder="1" applyAlignment="1">
      <alignment horizontal="center" vertical="center" wrapText="1"/>
    </xf>
    <xf numFmtId="164" fontId="11" fillId="32"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49" fontId="10" fillId="32" borderId="1" xfId="0" applyNumberFormat="1" applyFont="1" applyFill="1" applyBorder="1" applyAlignment="1">
      <alignment horizontal="center" vertical="center" wrapText="1"/>
    </xf>
    <xf numFmtId="9" fontId="12" fillId="32" borderId="1" xfId="0" applyNumberFormat="1" applyFont="1" applyFill="1" applyBorder="1" applyAlignment="1">
      <alignment horizontal="center" vertical="center" wrapText="1"/>
    </xf>
    <xf numFmtId="165" fontId="12" fillId="32" borderId="5" xfId="0" applyNumberFormat="1" applyFont="1" applyFill="1" applyBorder="1" applyAlignment="1">
      <alignment horizontal="center" vertical="center" wrapText="1"/>
    </xf>
    <xf numFmtId="170" fontId="10" fillId="32" borderId="1" xfId="0" applyNumberFormat="1" applyFont="1" applyFill="1" applyBorder="1" applyAlignment="1">
      <alignment horizontal="center" vertical="center" wrapText="1"/>
    </xf>
    <xf numFmtId="2" fontId="12" fillId="20" borderId="1" xfId="0" applyNumberFormat="1" applyFont="1" applyFill="1" applyBorder="1" applyAlignment="1">
      <alignment horizontal="center" vertical="center" wrapText="1"/>
    </xf>
    <xf numFmtId="171" fontId="31" fillId="0" borderId="0" xfId="21" applyNumberFormat="1" applyFont="1" applyAlignment="1">
      <alignment wrapText="1"/>
    </xf>
    <xf numFmtId="171" fontId="0" fillId="0" borderId="0" xfId="21" applyNumberFormat="1" applyFont="1" applyAlignment="1">
      <alignment wrapText="1"/>
    </xf>
    <xf numFmtId="171" fontId="11" fillId="0" borderId="0" xfId="21" applyNumberFormat="1" applyFont="1" applyFill="1" applyAlignment="1">
      <alignment wrapText="1"/>
    </xf>
    <xf numFmtId="171" fontId="30" fillId="0" borderId="0" xfId="21" applyNumberFormat="1" applyFont="1" applyFill="1" applyAlignment="1">
      <alignment vertical="center" wrapText="1"/>
    </xf>
    <xf numFmtId="171" fontId="30" fillId="0" borderId="0" xfId="21" applyNumberFormat="1" applyFont="1" applyFill="1" applyAlignment="1">
      <alignment wrapText="1"/>
    </xf>
    <xf numFmtId="171" fontId="0" fillId="0" borderId="0" xfId="21" applyNumberFormat="1" applyFont="1" applyFill="1" applyAlignment="1">
      <alignment wrapText="1"/>
    </xf>
    <xf numFmtId="171" fontId="0" fillId="0" borderId="0" xfId="21" applyNumberFormat="1" applyFont="1" applyFill="1" applyAlignment="1"/>
    <xf numFmtId="170" fontId="10" fillId="0" borderId="4" xfId="0" applyNumberFormat="1" applyFont="1" applyBorder="1" applyAlignment="1">
      <alignment horizontal="center" vertical="center" wrapText="1"/>
    </xf>
    <xf numFmtId="14" fontId="10" fillId="0" borderId="1" xfId="0" applyNumberFormat="1" applyFont="1" applyBorder="1" applyAlignment="1">
      <alignment horizontal="right" vertical="center" wrapText="1"/>
    </xf>
    <xf numFmtId="14" fontId="12" fillId="0" borderId="1" xfId="0" applyNumberFormat="1" applyFont="1" applyBorder="1" applyAlignment="1">
      <alignment horizontal="right" vertical="center" wrapText="1"/>
    </xf>
    <xf numFmtId="10" fontId="10" fillId="0" borderId="1" xfId="0" applyNumberFormat="1" applyFont="1" applyBorder="1" applyAlignment="1">
      <alignment horizontal="center" vertical="center" wrapText="1"/>
    </xf>
    <xf numFmtId="10" fontId="30" fillId="0" borderId="26" xfId="0" applyNumberFormat="1" applyFont="1" applyBorder="1" applyAlignment="1">
      <alignment horizontal="center" vertical="center" wrapText="1"/>
    </xf>
    <xf numFmtId="10" fontId="30" fillId="0" borderId="0" xfId="0" applyNumberFormat="1" applyFont="1" applyAlignment="1">
      <alignment horizontal="center" vertical="center" wrapText="1"/>
    </xf>
    <xf numFmtId="0" fontId="0" fillId="0" borderId="0" xfId="0" applyAlignment="1">
      <alignment horizontal="left" wrapText="1"/>
    </xf>
    <xf numFmtId="14" fontId="13" fillId="0" borderId="1" xfId="0" applyNumberFormat="1" applyFont="1" applyBorder="1" applyAlignment="1">
      <alignment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32" borderId="1" xfId="0" applyFont="1" applyFill="1" applyBorder="1" applyAlignment="1">
      <alignment horizontal="center" vertical="center" wrapText="1"/>
    </xf>
    <xf numFmtId="0" fontId="30" fillId="0" borderId="26" xfId="0" applyFont="1" applyBorder="1" applyAlignment="1">
      <alignment horizontal="center" vertical="center"/>
    </xf>
    <xf numFmtId="0" fontId="30" fillId="0" borderId="0" xfId="0" applyFont="1" applyAlignment="1">
      <alignment horizontal="center" vertical="center"/>
    </xf>
    <xf numFmtId="0" fontId="30" fillId="2" borderId="1" xfId="0"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72" fontId="30" fillId="2" borderId="1" xfId="0" applyNumberFormat="1" applyFont="1" applyFill="1" applyBorder="1" applyAlignment="1">
      <alignment horizontal="center" vertical="center" wrapText="1"/>
    </xf>
    <xf numFmtId="14" fontId="30" fillId="2" borderId="1" xfId="0" applyNumberFormat="1" applyFont="1" applyFill="1" applyBorder="1" applyAlignment="1">
      <alignment horizontal="center" vertical="center" wrapText="1"/>
    </xf>
    <xf numFmtId="0" fontId="30" fillId="31" borderId="1" xfId="0" applyFont="1" applyFill="1" applyBorder="1" applyAlignment="1">
      <alignment horizontal="center" vertical="center" wrapText="1"/>
    </xf>
    <xf numFmtId="0" fontId="30" fillId="0" borderId="0" xfId="0" applyFont="1" applyAlignment="1">
      <alignment horizontal="center" wrapText="1"/>
    </xf>
    <xf numFmtId="171" fontId="11" fillId="0" borderId="0" xfId="21" applyNumberFormat="1" applyFont="1" applyFill="1" applyAlignment="1">
      <alignment horizontal="right" vertical="center" wrapText="1"/>
    </xf>
    <xf numFmtId="164" fontId="15" fillId="0" borderId="20" xfId="22" applyNumberFormat="1" applyFont="1" applyBorder="1"/>
    <xf numFmtId="164" fontId="15" fillId="7" borderId="20" xfId="22" applyNumberFormat="1" applyFont="1" applyFill="1" applyBorder="1"/>
    <xf numFmtId="164" fontId="15" fillId="22" borderId="20" xfId="22" applyNumberFormat="1" applyFont="1" applyFill="1" applyBorder="1"/>
    <xf numFmtId="164" fontId="15" fillId="27" borderId="20" xfId="22" applyNumberFormat="1" applyFont="1" applyFill="1" applyBorder="1"/>
    <xf numFmtId="164" fontId="15" fillId="33" borderId="20" xfId="22" applyNumberFormat="1" applyFont="1" applyFill="1" applyBorder="1"/>
    <xf numFmtId="164" fontId="15" fillId="18" borderId="20" xfId="22" applyNumberFormat="1" applyFont="1" applyFill="1" applyBorder="1"/>
    <xf numFmtId="164" fontId="15" fillId="9" borderId="20" xfId="22" applyNumberFormat="1" applyFont="1" applyFill="1" applyBorder="1"/>
    <xf numFmtId="0" fontId="4" fillId="0" borderId="11" xfId="22" applyBorder="1"/>
    <xf numFmtId="164" fontId="15" fillId="17" borderId="20" xfId="22" applyNumberFormat="1" applyFont="1" applyFill="1" applyBorder="1"/>
    <xf numFmtId="164" fontId="15" fillId="34" borderId="20" xfId="22" applyNumberFormat="1" applyFont="1" applyFill="1" applyBorder="1"/>
    <xf numFmtId="164" fontId="4" fillId="0" borderId="20" xfId="22" applyNumberFormat="1" applyBorder="1"/>
    <xf numFmtId="164" fontId="15" fillId="15" borderId="20" xfId="22" applyNumberFormat="1" applyFont="1" applyFill="1" applyBorder="1"/>
    <xf numFmtId="164" fontId="15" fillId="7" borderId="20" xfId="22" applyNumberFormat="1" applyFont="1" applyFill="1" applyBorder="1" applyAlignment="1">
      <alignment horizontal="right"/>
    </xf>
    <xf numFmtId="164" fontId="15" fillId="27" borderId="20" xfId="22" applyNumberFormat="1" applyFont="1" applyFill="1" applyBorder="1" applyAlignment="1">
      <alignment horizontal="right"/>
    </xf>
    <xf numFmtId="164" fontId="15" fillId="0" borderId="30" xfId="22" applyNumberFormat="1" applyFont="1" applyBorder="1"/>
    <xf numFmtId="164" fontId="15" fillId="17" borderId="30" xfId="22" applyNumberFormat="1" applyFont="1" applyFill="1" applyBorder="1"/>
    <xf numFmtId="164" fontId="15" fillId="9" borderId="20" xfId="22" applyNumberFormat="1" applyFont="1" applyFill="1" applyBorder="1" applyAlignment="1">
      <alignment horizontal="right"/>
    </xf>
    <xf numFmtId="164" fontId="15" fillId="0" borderId="28" xfId="22" applyNumberFormat="1" applyFont="1" applyBorder="1"/>
    <xf numFmtId="10" fontId="15" fillId="0" borderId="9" xfId="16" applyNumberFormat="1" applyFont="1" applyBorder="1"/>
    <xf numFmtId="10" fontId="15" fillId="0" borderId="8" xfId="16" applyNumberFormat="1" applyFont="1" applyBorder="1"/>
    <xf numFmtId="10" fontId="15" fillId="0" borderId="0" xfId="16" applyNumberFormat="1" applyFont="1"/>
    <xf numFmtId="164" fontId="15" fillId="33" borderId="10" xfId="22" applyNumberFormat="1" applyFont="1" applyFill="1" applyBorder="1"/>
    <xf numFmtId="165" fontId="12" fillId="32" borderId="10" xfId="0" applyNumberFormat="1" applyFont="1" applyFill="1" applyBorder="1" applyAlignment="1">
      <alignment horizontal="center" vertical="center" wrapText="1"/>
    </xf>
    <xf numFmtId="165" fontId="11" fillId="0" borderId="0" xfId="0" applyNumberFormat="1" applyFont="1" applyAlignment="1">
      <alignment horizontal="center" vertical="center" wrapText="1"/>
    </xf>
    <xf numFmtId="173" fontId="26" fillId="0" borderId="0" xfId="0" applyNumberFormat="1" applyFont="1" applyAlignment="1">
      <alignment horizontal="center" vertical="center" wrapText="1"/>
    </xf>
    <xf numFmtId="173" fontId="23" fillId="0" borderId="0" xfId="0" applyNumberFormat="1" applyFont="1" applyAlignment="1">
      <alignment horizontal="center" vertical="center" wrapText="1"/>
    </xf>
    <xf numFmtId="173" fontId="11" fillId="0" borderId="0" xfId="0" applyNumberFormat="1" applyFont="1" applyAlignment="1">
      <alignment horizontal="right" vertical="center" wrapText="1"/>
    </xf>
    <xf numFmtId="173" fontId="10" fillId="0" borderId="1" xfId="0" applyNumberFormat="1" applyFont="1" applyBorder="1" applyAlignment="1">
      <alignment horizontal="center" vertical="center" wrapText="1"/>
    </xf>
    <xf numFmtId="173" fontId="10" fillId="0" borderId="4" xfId="0" applyNumberFormat="1" applyFont="1" applyBorder="1" applyAlignment="1">
      <alignment horizontal="center" vertical="center" wrapText="1"/>
    </xf>
    <xf numFmtId="173" fontId="12" fillId="32" borderId="1" xfId="0" applyNumberFormat="1" applyFont="1" applyFill="1" applyBorder="1" applyAlignment="1">
      <alignment horizontal="right" vertical="center" wrapText="1"/>
    </xf>
    <xf numFmtId="173" fontId="30" fillId="0" borderId="26" xfId="0" applyNumberFormat="1" applyFont="1" applyBorder="1" applyAlignment="1">
      <alignment horizontal="right" vertical="center" wrapText="1"/>
    </xf>
    <xf numFmtId="173" fontId="30" fillId="0" borderId="0" xfId="0" applyNumberFormat="1" applyFont="1" applyAlignment="1">
      <alignment horizontal="right" vertical="center" wrapText="1"/>
    </xf>
    <xf numFmtId="173" fontId="0" fillId="0" borderId="0" xfId="0" applyNumberFormat="1" applyAlignment="1">
      <alignment horizontal="right" vertical="center" wrapText="1"/>
    </xf>
    <xf numFmtId="173" fontId="0" fillId="0" borderId="0" xfId="0" applyNumberFormat="1" applyAlignment="1">
      <alignment horizontal="right" vertical="center"/>
    </xf>
    <xf numFmtId="173" fontId="0" fillId="0" borderId="0" xfId="0" applyNumberFormat="1" applyAlignment="1">
      <alignment wrapText="1"/>
    </xf>
    <xf numFmtId="165" fontId="15" fillId="0" borderId="0" xfId="26" applyNumberFormat="1" applyFont="1" applyAlignment="1">
      <alignment horizontal="center"/>
    </xf>
    <xf numFmtId="0" fontId="15" fillId="0" borderId="0" xfId="26" applyFont="1"/>
    <xf numFmtId="167" fontId="15" fillId="0" borderId="0" xfId="26" applyNumberFormat="1" applyFont="1"/>
    <xf numFmtId="2" fontId="15" fillId="0" borderId="0" xfId="26" applyNumberFormat="1" applyFont="1"/>
    <xf numFmtId="164" fontId="15" fillId="0" borderId="0" xfId="26" applyNumberFormat="1" applyFont="1"/>
    <xf numFmtId="168" fontId="15" fillId="0" borderId="0" xfId="27" applyNumberFormat="1" applyFont="1"/>
    <xf numFmtId="10" fontId="15" fillId="0" borderId="0" xfId="28" applyNumberFormat="1" applyFont="1"/>
    <xf numFmtId="2" fontId="15" fillId="0" borderId="0" xfId="28" applyNumberFormat="1" applyFont="1"/>
    <xf numFmtId="0" fontId="18" fillId="0" borderId="0" xfId="26" applyFont="1"/>
    <xf numFmtId="0" fontId="15" fillId="0" borderId="1" xfId="26" applyFont="1" applyBorder="1" applyAlignment="1">
      <alignment wrapText="1"/>
    </xf>
    <xf numFmtId="165" fontId="16" fillId="0" borderId="0" xfId="26" applyNumberFormat="1" applyFont="1" applyAlignment="1">
      <alignment horizontal="center"/>
    </xf>
    <xf numFmtId="0" fontId="16" fillId="0" borderId="0" xfId="26" applyFont="1"/>
    <xf numFmtId="0" fontId="16" fillId="0" borderId="13" xfId="26" applyFont="1" applyBorder="1"/>
    <xf numFmtId="0" fontId="16" fillId="0" borderId="26" xfId="26" applyFont="1" applyBorder="1" applyAlignment="1">
      <alignment horizontal="center"/>
    </xf>
    <xf numFmtId="165" fontId="15" fillId="0" borderId="2" xfId="26" applyNumberFormat="1" applyFont="1" applyBorder="1" applyAlignment="1">
      <alignment horizontal="center" textRotation="90" wrapText="1"/>
    </xf>
    <xf numFmtId="0" fontId="15" fillId="0" borderId="3" xfId="26" applyFont="1" applyBorder="1" applyAlignment="1">
      <alignment horizontal="center" wrapText="1"/>
    </xf>
    <xf numFmtId="167" fontId="15" fillId="0" borderId="10" xfId="26" applyNumberFormat="1" applyFont="1" applyBorder="1" applyAlignment="1">
      <alignment horizontal="center" wrapText="1"/>
    </xf>
    <xf numFmtId="2" fontId="15" fillId="5" borderId="2" xfId="26" applyNumberFormat="1" applyFont="1" applyFill="1" applyBorder="1" applyAlignment="1">
      <alignment horizontal="center" wrapText="1"/>
    </xf>
    <xf numFmtId="164" fontId="15" fillId="0" borderId="10" xfId="26" applyNumberFormat="1" applyFont="1" applyBorder="1" applyAlignment="1">
      <alignment horizontal="center" wrapText="1"/>
    </xf>
    <xf numFmtId="2" fontId="15" fillId="5" borderId="3" xfId="26" applyNumberFormat="1" applyFont="1" applyFill="1" applyBorder="1" applyAlignment="1">
      <alignment horizontal="center" wrapText="1"/>
    </xf>
    <xf numFmtId="0" fontId="15" fillId="0" borderId="32" xfId="27" applyNumberFormat="1" applyFont="1" applyBorder="1" applyAlignment="1">
      <alignment horizontal="center" wrapText="1"/>
    </xf>
    <xf numFmtId="0" fontId="15" fillId="0" borderId="2" xfId="27" applyNumberFormat="1" applyFont="1" applyBorder="1" applyAlignment="1">
      <alignment horizontal="center" wrapText="1"/>
    </xf>
    <xf numFmtId="10" fontId="15" fillId="0" borderId="2" xfId="28" applyNumberFormat="1" applyFont="1" applyBorder="1" applyAlignment="1">
      <alignment horizontal="center" wrapText="1"/>
    </xf>
    <xf numFmtId="2" fontId="17" fillId="5" borderId="2" xfId="28" applyNumberFormat="1" applyFont="1" applyFill="1" applyBorder="1" applyAlignment="1">
      <alignment horizontal="center" wrapText="1"/>
    </xf>
    <xf numFmtId="2" fontId="15" fillId="6" borderId="10" xfId="26" applyNumberFormat="1" applyFont="1" applyFill="1" applyBorder="1" applyAlignment="1">
      <alignment horizontal="center" wrapText="1"/>
    </xf>
    <xf numFmtId="0" fontId="15" fillId="0" borderId="10" xfId="26" applyFont="1" applyBorder="1" applyAlignment="1">
      <alignment horizontal="center" wrapText="1"/>
    </xf>
    <xf numFmtId="2" fontId="15" fillId="6" borderId="4" xfId="26" applyNumberFormat="1" applyFont="1" applyFill="1" applyBorder="1" applyAlignment="1">
      <alignment horizontal="center" textRotation="90" wrapText="1"/>
    </xf>
    <xf numFmtId="0" fontId="15" fillId="0" borderId="0" xfId="26" applyFont="1" applyAlignment="1">
      <alignment horizontal="center" wrapText="1"/>
    </xf>
    <xf numFmtId="165" fontId="18" fillId="0" borderId="14" xfId="26" applyNumberFormat="1" applyFont="1" applyBorder="1" applyAlignment="1">
      <alignment horizontal="center"/>
    </xf>
    <xf numFmtId="0" fontId="18" fillId="0" borderId="15" xfId="26" applyFont="1" applyBorder="1"/>
    <xf numFmtId="167" fontId="18" fillId="0" borderId="16" xfId="26" applyNumberFormat="1" applyFont="1" applyBorder="1"/>
    <xf numFmtId="2" fontId="24" fillId="5" borderId="17" xfId="26" applyNumberFormat="1" applyFont="1" applyFill="1" applyBorder="1"/>
    <xf numFmtId="164" fontId="18" fillId="0" borderId="16" xfId="26" applyNumberFormat="1" applyFont="1" applyBorder="1"/>
    <xf numFmtId="2" fontId="18" fillId="5" borderId="17" xfId="26" applyNumberFormat="1" applyFont="1" applyFill="1" applyBorder="1"/>
    <xf numFmtId="2" fontId="18" fillId="5" borderId="16" xfId="26" applyNumberFormat="1" applyFont="1" applyFill="1" applyBorder="1"/>
    <xf numFmtId="3" fontId="32" fillId="0" borderId="34" xfId="29" applyNumberFormat="1" applyFont="1" applyBorder="1" applyAlignment="1">
      <alignment horizontal="right" vertical="center" wrapText="1"/>
    </xf>
    <xf numFmtId="3" fontId="32" fillId="0" borderId="35" xfId="29" applyNumberFormat="1" applyFont="1" applyBorder="1" applyAlignment="1">
      <alignment horizontal="right" vertical="center" wrapText="1"/>
    </xf>
    <xf numFmtId="10" fontId="18" fillId="0" borderId="16" xfId="28" applyNumberFormat="1" applyFont="1" applyBorder="1"/>
    <xf numFmtId="2" fontId="18" fillId="5" borderId="16" xfId="28" applyNumberFormat="1" applyFont="1" applyFill="1" applyBorder="1"/>
    <xf numFmtId="2" fontId="18" fillId="6" borderId="18" xfId="26" applyNumberFormat="1" applyFont="1" applyFill="1" applyBorder="1"/>
    <xf numFmtId="164" fontId="18" fillId="0" borderId="19" xfId="26" applyNumberFormat="1" applyFont="1" applyBorder="1"/>
    <xf numFmtId="10" fontId="18" fillId="0" borderId="17" xfId="26" applyNumberFormat="1" applyFont="1" applyBorder="1"/>
    <xf numFmtId="0" fontId="18" fillId="3" borderId="16" xfId="26" applyFont="1" applyFill="1" applyBorder="1"/>
    <xf numFmtId="0" fontId="18" fillId="4" borderId="18" xfId="26" applyFont="1" applyFill="1" applyBorder="1"/>
    <xf numFmtId="0" fontId="18" fillId="0" borderId="18" xfId="26" applyFont="1" applyBorder="1"/>
    <xf numFmtId="0" fontId="15" fillId="4" borderId="18" xfId="26" applyFont="1" applyFill="1" applyBorder="1" applyAlignment="1">
      <alignment textRotation="90" wrapText="1"/>
    </xf>
    <xf numFmtId="0" fontId="15" fillId="0" borderId="15" xfId="26" applyFont="1" applyBorder="1"/>
    <xf numFmtId="167" fontId="15" fillId="0" borderId="20" xfId="26" applyNumberFormat="1" applyFont="1" applyBorder="1"/>
    <xf numFmtId="2" fontId="15" fillId="14" borderId="15" xfId="26" applyNumberFormat="1" applyFont="1" applyFill="1" applyBorder="1"/>
    <xf numFmtId="2" fontId="15" fillId="5" borderId="15" xfId="26" applyNumberFormat="1" applyFont="1" applyFill="1" applyBorder="1"/>
    <xf numFmtId="167" fontId="25" fillId="0" borderId="14" xfId="26" applyNumberFormat="1" applyFont="1" applyBorder="1"/>
    <xf numFmtId="2" fontId="25" fillId="14" borderId="14" xfId="26" applyNumberFormat="1" applyFont="1" applyFill="1" applyBorder="1"/>
    <xf numFmtId="168" fontId="15" fillId="0" borderId="31" xfId="27" applyNumberFormat="1" applyFont="1" applyBorder="1"/>
    <xf numFmtId="168" fontId="15" fillId="0" borderId="22" xfId="27" applyNumberFormat="1" applyFont="1" applyBorder="1"/>
    <xf numFmtId="10" fontId="28" fillId="0" borderId="16" xfId="28" applyNumberFormat="1" applyFont="1" applyBorder="1"/>
    <xf numFmtId="2" fontId="15" fillId="5" borderId="14" xfId="28" applyNumberFormat="1" applyFont="1" applyFill="1" applyBorder="1"/>
    <xf numFmtId="2" fontId="15" fillId="6" borderId="20" xfId="26" applyNumberFormat="1" applyFont="1" applyFill="1" applyBorder="1"/>
    <xf numFmtId="10" fontId="15" fillId="0" borderId="15" xfId="26" applyNumberFormat="1" applyFont="1" applyBorder="1"/>
    <xf numFmtId="2" fontId="15" fillId="6" borderId="21" xfId="26" applyNumberFormat="1" applyFont="1" applyFill="1" applyBorder="1"/>
    <xf numFmtId="10" fontId="15" fillId="3" borderId="14" xfId="26" applyNumberFormat="1" applyFont="1" applyFill="1" applyBorder="1"/>
    <xf numFmtId="10" fontId="15" fillId="4" borderId="21" xfId="26" applyNumberFormat="1" applyFont="1" applyFill="1" applyBorder="1"/>
    <xf numFmtId="10" fontId="16" fillId="0" borderId="21" xfId="26" applyNumberFormat="1" applyFont="1" applyBorder="1"/>
    <xf numFmtId="10" fontId="15" fillId="0" borderId="21" xfId="26" applyNumberFormat="1" applyFont="1" applyBorder="1"/>
    <xf numFmtId="0" fontId="28" fillId="0" borderId="0" xfId="26" applyFont="1"/>
    <xf numFmtId="165" fontId="15" fillId="0" borderId="14" xfId="26" applyNumberFormat="1" applyFont="1" applyBorder="1" applyAlignment="1">
      <alignment horizontal="center"/>
    </xf>
    <xf numFmtId="168" fontId="15" fillId="0" borderId="33" xfId="27" applyNumberFormat="1" applyFont="1" applyBorder="1"/>
    <xf numFmtId="168" fontId="15" fillId="0" borderId="14" xfId="27" applyNumberFormat="1" applyFont="1" applyBorder="1"/>
    <xf numFmtId="10" fontId="15" fillId="0" borderId="14" xfId="26" applyNumberFormat="1" applyFont="1" applyBorder="1"/>
    <xf numFmtId="165" fontId="15" fillId="0" borderId="22" xfId="26" applyNumberFormat="1" applyFont="1" applyBorder="1" applyAlignment="1">
      <alignment horizontal="center"/>
    </xf>
    <xf numFmtId="167" fontId="3" fillId="0" borderId="14" xfId="26" applyNumberFormat="1" applyBorder="1"/>
    <xf numFmtId="2" fontId="3" fillId="14" borderId="14" xfId="26" applyNumberFormat="1" applyFill="1" applyBorder="1"/>
    <xf numFmtId="165" fontId="15" fillId="0" borderId="23" xfId="26" applyNumberFormat="1" applyFont="1" applyBorder="1" applyAlignment="1">
      <alignment horizontal="center"/>
    </xf>
    <xf numFmtId="2" fontId="15" fillId="14" borderId="14" xfId="26" applyNumberFormat="1" applyFont="1" applyFill="1" applyBorder="1"/>
    <xf numFmtId="2" fontId="25" fillId="14" borderId="15" xfId="26" applyNumberFormat="1" applyFont="1" applyFill="1" applyBorder="1"/>
    <xf numFmtId="10" fontId="15" fillId="0" borderId="29" xfId="26" applyNumberFormat="1" applyFont="1" applyBorder="1"/>
    <xf numFmtId="2" fontId="15" fillId="5" borderId="24" xfId="26" applyNumberFormat="1" applyFont="1" applyFill="1" applyBorder="1"/>
    <xf numFmtId="167" fontId="3" fillId="0" borderId="22" xfId="26" applyNumberFormat="1" applyBorder="1"/>
    <xf numFmtId="2" fontId="3" fillId="14" borderId="22" xfId="26" applyNumberFormat="1" applyFill="1" applyBorder="1"/>
    <xf numFmtId="10" fontId="15" fillId="0" borderId="24" xfId="26" applyNumberFormat="1" applyFont="1" applyBorder="1"/>
    <xf numFmtId="0" fontId="15" fillId="0" borderId="29" xfId="26" applyFont="1" applyBorder="1"/>
    <xf numFmtId="2" fontId="15" fillId="14" borderId="0" xfId="26" applyNumberFormat="1" applyFont="1" applyFill="1"/>
    <xf numFmtId="167" fontId="25" fillId="0" borderId="2" xfId="26" applyNumberFormat="1" applyFont="1" applyBorder="1"/>
    <xf numFmtId="2" fontId="25" fillId="14" borderId="0" xfId="26" applyNumberFormat="1" applyFont="1" applyFill="1"/>
    <xf numFmtId="168" fontId="15" fillId="0" borderId="36" xfId="27" applyNumberFormat="1" applyFont="1" applyBorder="1"/>
    <xf numFmtId="168" fontId="15" fillId="0" borderId="23" xfId="27" applyNumberFormat="1" applyFont="1" applyBorder="1"/>
    <xf numFmtId="2" fontId="15" fillId="5" borderId="0" xfId="28" applyNumberFormat="1" applyFont="1" applyFill="1"/>
    <xf numFmtId="2" fontId="15" fillId="5" borderId="0" xfId="26" applyNumberFormat="1" applyFont="1" applyFill="1"/>
    <xf numFmtId="10" fontId="15" fillId="0" borderId="3" xfId="26" applyNumberFormat="1" applyFont="1" applyBorder="1"/>
    <xf numFmtId="2" fontId="15" fillId="6" borderId="25" xfId="26" applyNumberFormat="1" applyFont="1" applyFill="1" applyBorder="1"/>
    <xf numFmtId="10" fontId="15" fillId="0" borderId="10" xfId="26" applyNumberFormat="1" applyFont="1" applyBorder="1"/>
    <xf numFmtId="10" fontId="15" fillId="0" borderId="4" xfId="26" applyNumberFormat="1" applyFont="1" applyBorder="1"/>
    <xf numFmtId="167" fontId="15" fillId="0" borderId="0" xfId="26" applyNumberFormat="1" applyFont="1" applyAlignment="1">
      <alignment horizontal="right"/>
    </xf>
    <xf numFmtId="167" fontId="15" fillId="0" borderId="12" xfId="28" applyNumberFormat="1" applyFont="1" applyBorder="1"/>
    <xf numFmtId="2" fontId="15" fillId="0" borderId="13" xfId="26" applyNumberFormat="1" applyFont="1" applyBorder="1"/>
    <xf numFmtId="167" fontId="15" fillId="0" borderId="0" xfId="28" applyNumberFormat="1" applyFont="1"/>
    <xf numFmtId="168" fontId="15" fillId="0" borderId="11" xfId="27" applyNumberFormat="1" applyFont="1" applyBorder="1"/>
    <xf numFmtId="10" fontId="15" fillId="0" borderId="26" xfId="26" applyNumberFormat="1" applyFont="1" applyBorder="1"/>
    <xf numFmtId="164" fontId="15" fillId="0" borderId="11" xfId="26" applyNumberFormat="1" applyFont="1" applyBorder="1"/>
    <xf numFmtId="10" fontId="15" fillId="0" borderId="27" xfId="26" applyNumberFormat="1" applyFont="1" applyBorder="1"/>
    <xf numFmtId="2" fontId="15" fillId="0" borderId="9" xfId="26" applyNumberFormat="1" applyFont="1" applyBorder="1"/>
    <xf numFmtId="167" fontId="15" fillId="0" borderId="11" xfId="28" applyNumberFormat="1" applyFont="1" applyBorder="1"/>
    <xf numFmtId="2" fontId="15" fillId="0" borderId="27" xfId="26" applyNumberFormat="1" applyFont="1" applyBorder="1"/>
    <xf numFmtId="10" fontId="15" fillId="0" borderId="0" xfId="26" applyNumberFormat="1" applyFont="1"/>
    <xf numFmtId="2" fontId="15" fillId="0" borderId="8" xfId="26" applyNumberFormat="1" applyFont="1" applyBorder="1"/>
    <xf numFmtId="164" fontId="15" fillId="0" borderId="0" xfId="26" applyNumberFormat="1" applyFont="1" applyAlignment="1">
      <alignment horizontal="right" wrapText="1"/>
    </xf>
    <xf numFmtId="10" fontId="15" fillId="0" borderId="11" xfId="26" applyNumberFormat="1" applyFont="1" applyBorder="1"/>
    <xf numFmtId="10" fontId="15" fillId="0" borderId="27" xfId="28" applyNumberFormat="1" applyFont="1" applyBorder="1"/>
    <xf numFmtId="2" fontId="15" fillId="0" borderId="8" xfId="28" applyNumberFormat="1" applyFont="1" applyBorder="1"/>
    <xf numFmtId="0" fontId="19" fillId="4" borderId="0" xfId="26" applyFont="1" applyFill="1" applyAlignment="1">
      <alignment horizontal="center"/>
    </xf>
    <xf numFmtId="0" fontId="15" fillId="4" borderId="0" xfId="26" applyFont="1" applyFill="1" applyAlignment="1">
      <alignment horizontal="center"/>
    </xf>
    <xf numFmtId="9" fontId="15" fillId="4" borderId="0" xfId="26" applyNumberFormat="1" applyFont="1" applyFill="1" applyAlignment="1">
      <alignment horizontal="center"/>
    </xf>
    <xf numFmtId="0" fontId="19" fillId="3" borderId="0" xfId="26" applyFont="1" applyFill="1" applyAlignment="1">
      <alignment horizontal="center"/>
    </xf>
    <xf numFmtId="0" fontId="15" fillId="3" borderId="0" xfId="26" applyFont="1" applyFill="1" applyAlignment="1">
      <alignment horizontal="center"/>
    </xf>
    <xf numFmtId="2" fontId="16" fillId="0" borderId="0" xfId="26" applyNumberFormat="1" applyFont="1" applyAlignment="1">
      <alignment vertical="top"/>
    </xf>
    <xf numFmtId="164" fontId="16" fillId="0" borderId="0" xfId="26" applyNumberFormat="1" applyFont="1" applyAlignment="1">
      <alignment horizontal="right" vertical="top"/>
    </xf>
    <xf numFmtId="164" fontId="16" fillId="0" borderId="0" xfId="26" applyNumberFormat="1" applyFont="1" applyAlignment="1">
      <alignment vertical="top" wrapText="1"/>
    </xf>
    <xf numFmtId="164" fontId="15" fillId="0" borderId="0" xfId="26" applyNumberFormat="1" applyFont="1" applyAlignment="1">
      <alignment wrapText="1"/>
    </xf>
    <xf numFmtId="2" fontId="15" fillId="0" borderId="0" xfId="26" applyNumberFormat="1" applyFont="1" applyAlignment="1">
      <alignment wrapText="1"/>
    </xf>
    <xf numFmtId="164" fontId="16" fillId="0" borderId="0" xfId="26" applyNumberFormat="1" applyFont="1" applyAlignment="1">
      <alignment horizontal="right"/>
    </xf>
    <xf numFmtId="1" fontId="16" fillId="0" borderId="0" xfId="26" applyNumberFormat="1" applyFont="1" applyAlignment="1">
      <alignment horizontal="center"/>
    </xf>
    <xf numFmtId="1" fontId="15" fillId="3" borderId="0" xfId="26" applyNumberFormat="1" applyFont="1" applyFill="1" applyAlignment="1">
      <alignment horizontal="center"/>
    </xf>
    <xf numFmtId="167" fontId="16" fillId="0" borderId="0" xfId="26" applyNumberFormat="1" applyFont="1" applyAlignment="1">
      <alignment vertical="top" wrapText="1"/>
    </xf>
    <xf numFmtId="2" fontId="16" fillId="0" borderId="0" xfId="26" applyNumberFormat="1" applyFont="1" applyAlignment="1">
      <alignment vertical="top" wrapText="1"/>
    </xf>
    <xf numFmtId="2" fontId="16" fillId="0" borderId="0" xfId="26" applyNumberFormat="1" applyFont="1" applyAlignment="1">
      <alignment horizontal="center"/>
    </xf>
    <xf numFmtId="1" fontId="16" fillId="6" borderId="0" xfId="26" applyNumberFormat="1" applyFont="1" applyFill="1" applyAlignment="1">
      <alignment horizontal="center"/>
    </xf>
    <xf numFmtId="167" fontId="20" fillId="13" borderId="0" xfId="26" applyNumberFormat="1" applyFont="1" applyFill="1" applyAlignment="1">
      <alignment vertical="top"/>
    </xf>
    <xf numFmtId="167" fontId="20" fillId="0" borderId="0" xfId="26" applyNumberFormat="1" applyFont="1" applyAlignment="1">
      <alignment vertical="top"/>
    </xf>
    <xf numFmtId="9" fontId="15" fillId="3" borderId="0" xfId="26" applyNumberFormat="1" applyFont="1" applyFill="1" applyAlignment="1">
      <alignment horizontal="center"/>
    </xf>
    <xf numFmtId="167" fontId="21" fillId="10" borderId="0" xfId="26" applyNumberFormat="1" applyFont="1" applyFill="1" applyAlignment="1">
      <alignment vertical="top"/>
    </xf>
    <xf numFmtId="167" fontId="21" fillId="0" borderId="0" xfId="26" applyNumberFormat="1" applyFont="1" applyAlignment="1">
      <alignment vertical="top" wrapText="1"/>
    </xf>
    <xf numFmtId="164" fontId="21" fillId="0" borderId="0" xfId="26" applyNumberFormat="1" applyFont="1" applyAlignment="1">
      <alignment vertical="top" wrapText="1"/>
    </xf>
    <xf numFmtId="1" fontId="16" fillId="6" borderId="0" xfId="26" applyNumberFormat="1" applyFont="1" applyFill="1" applyAlignment="1">
      <alignment horizontal="right"/>
    </xf>
    <xf numFmtId="2" fontId="16" fillId="6" borderId="0" xfId="26" applyNumberFormat="1" applyFont="1" applyFill="1" applyAlignment="1">
      <alignment horizontal="center"/>
    </xf>
    <xf numFmtId="10" fontId="15" fillId="3" borderId="0" xfId="26" applyNumberFormat="1" applyFont="1" applyFill="1" applyAlignment="1">
      <alignment horizontal="center"/>
    </xf>
    <xf numFmtId="167" fontId="14" fillId="9" borderId="0" xfId="26" applyNumberFormat="1" applyFont="1" applyFill="1" applyAlignment="1">
      <alignment vertical="top"/>
    </xf>
    <xf numFmtId="167" fontId="14" fillId="0" borderId="0" xfId="26" applyNumberFormat="1" applyFont="1" applyAlignment="1">
      <alignment vertical="top" wrapText="1"/>
    </xf>
    <xf numFmtId="164" fontId="14" fillId="0" borderId="0" xfId="26" applyNumberFormat="1" applyFont="1" applyAlignment="1">
      <alignment vertical="top" wrapText="1"/>
    </xf>
    <xf numFmtId="49" fontId="15" fillId="0" borderId="0" xfId="26" applyNumberFormat="1" applyFont="1"/>
    <xf numFmtId="2" fontId="15" fillId="0" borderId="0" xfId="26" applyNumberFormat="1" applyFont="1" applyAlignment="1">
      <alignment horizontal="center"/>
    </xf>
    <xf numFmtId="1" fontId="22" fillId="6" borderId="0" xfId="26" applyNumberFormat="1" applyFont="1" applyFill="1" applyAlignment="1">
      <alignment horizontal="center"/>
    </xf>
    <xf numFmtId="10" fontId="15" fillId="11" borderId="7" xfId="26" applyNumberFormat="1" applyFont="1" applyFill="1" applyBorder="1" applyAlignment="1">
      <alignment horizontal="center"/>
    </xf>
    <xf numFmtId="164" fontId="16" fillId="0" borderId="0" xfId="26" applyNumberFormat="1" applyFont="1" applyAlignment="1">
      <alignment horizontal="center" vertical="top" wrapText="1"/>
    </xf>
    <xf numFmtId="2" fontId="16" fillId="0" borderId="0" xfId="26" applyNumberFormat="1" applyFont="1" applyAlignment="1">
      <alignment horizontal="right"/>
    </xf>
    <xf numFmtId="0" fontId="16" fillId="0" borderId="0" xfId="26" applyFont="1" applyAlignment="1">
      <alignment horizontal="center"/>
    </xf>
    <xf numFmtId="1" fontId="16" fillId="11" borderId="5" xfId="26" applyNumberFormat="1" applyFont="1" applyFill="1" applyBorder="1"/>
    <xf numFmtId="10" fontId="16" fillId="11" borderId="7" xfId="26" applyNumberFormat="1" applyFont="1" applyFill="1" applyBorder="1" applyAlignment="1">
      <alignment horizontal="right"/>
    </xf>
    <xf numFmtId="10" fontId="16" fillId="11" borderId="6" xfId="26" applyNumberFormat="1" applyFont="1" applyFill="1" applyBorder="1" applyAlignment="1">
      <alignment horizontal="center"/>
    </xf>
    <xf numFmtId="10" fontId="15" fillId="4" borderId="7" xfId="26" applyNumberFormat="1" applyFont="1" applyFill="1" applyBorder="1" applyAlignment="1">
      <alignment horizontal="center"/>
    </xf>
    <xf numFmtId="49" fontId="16" fillId="0" borderId="0" xfId="26" applyNumberFormat="1" applyFont="1" applyAlignment="1">
      <alignment horizontal="center"/>
    </xf>
    <xf numFmtId="168" fontId="16" fillId="0" borderId="0" xfId="27" applyNumberFormat="1" applyFont="1" applyAlignment="1">
      <alignment horizontal="center"/>
    </xf>
    <xf numFmtId="164" fontId="16" fillId="0" borderId="0" xfId="26" applyNumberFormat="1" applyFont="1" applyAlignment="1">
      <alignment horizontal="center"/>
    </xf>
    <xf numFmtId="165" fontId="15" fillId="0" borderId="0" xfId="26" applyNumberFormat="1" applyFont="1" applyAlignment="1">
      <alignment horizontal="center" wrapText="1"/>
    </xf>
    <xf numFmtId="0" fontId="15" fillId="0" borderId="0" xfId="26" applyFont="1" applyAlignment="1">
      <alignment wrapText="1"/>
    </xf>
    <xf numFmtId="167" fontId="15" fillId="8" borderId="0" xfId="26" applyNumberFormat="1" applyFont="1" applyFill="1"/>
    <xf numFmtId="2" fontId="15" fillId="8" borderId="0" xfId="26" applyNumberFormat="1" applyFont="1" applyFill="1"/>
    <xf numFmtId="164" fontId="15" fillId="8" borderId="0" xfId="26" applyNumberFormat="1" applyFont="1" applyFill="1"/>
    <xf numFmtId="167" fontId="15" fillId="7" borderId="0" xfId="26" applyNumberFormat="1" applyFont="1" applyFill="1"/>
    <xf numFmtId="2" fontId="15" fillId="7" borderId="0" xfId="26" applyNumberFormat="1" applyFont="1" applyFill="1"/>
    <xf numFmtId="164" fontId="15" fillId="7" borderId="0" xfId="26" applyNumberFormat="1" applyFont="1" applyFill="1"/>
    <xf numFmtId="167" fontId="15" fillId="9" borderId="0" xfId="26" applyNumberFormat="1" applyFont="1" applyFill="1"/>
    <xf numFmtId="169" fontId="15" fillId="0" borderId="0" xfId="26" applyNumberFormat="1" applyFont="1"/>
    <xf numFmtId="0" fontId="15" fillId="15" borderId="0" xfId="26" applyFont="1" applyFill="1"/>
    <xf numFmtId="167" fontId="16" fillId="0" borderId="0" xfId="26" applyNumberFormat="1" applyFont="1" applyAlignment="1">
      <alignment vertical="top"/>
    </xf>
    <xf numFmtId="0" fontId="15" fillId="16" borderId="0" xfId="26" applyFont="1" applyFill="1"/>
    <xf numFmtId="0" fontId="15" fillId="19" borderId="0" xfId="26" applyFont="1" applyFill="1"/>
    <xf numFmtId="0" fontId="15" fillId="21" borderId="0" xfId="26" applyFont="1" applyFill="1"/>
    <xf numFmtId="0" fontId="15" fillId="35" borderId="0" xfId="26" applyFont="1" applyFill="1"/>
    <xf numFmtId="2" fontId="26" fillId="0" borderId="0" xfId="0" applyNumberFormat="1" applyFont="1" applyAlignment="1">
      <alignment horizontal="center" vertical="center" wrapText="1"/>
    </xf>
    <xf numFmtId="2" fontId="12" fillId="32" borderId="10" xfId="0" applyNumberFormat="1" applyFont="1" applyFill="1" applyBorder="1" applyAlignment="1">
      <alignment horizontal="center" vertical="center" wrapText="1"/>
    </xf>
    <xf numFmtId="2" fontId="30" fillId="0" borderId="26" xfId="0" applyNumberFormat="1" applyFont="1" applyBorder="1" applyAlignment="1">
      <alignment horizontal="right" vertical="center" wrapText="1"/>
    </xf>
    <xf numFmtId="2" fontId="30" fillId="0" borderId="0" xfId="0" applyNumberFormat="1" applyFont="1" applyAlignment="1">
      <alignment horizontal="right" vertical="center" wrapText="1"/>
    </xf>
    <xf numFmtId="164" fontId="10" fillId="20" borderId="1" xfId="0" applyNumberFormat="1" applyFont="1" applyFill="1" applyBorder="1" applyAlignment="1">
      <alignment horizontal="right" vertical="center" wrapText="1"/>
    </xf>
    <xf numFmtId="0" fontId="10" fillId="0" borderId="26" xfId="0" applyFont="1" applyBorder="1" applyAlignment="1">
      <alignment vertical="center" wrapText="1"/>
    </xf>
    <xf numFmtId="0" fontId="11" fillId="0" borderId="0" xfId="0" applyFont="1" applyAlignment="1">
      <alignment horizontal="center" wrapText="1"/>
    </xf>
    <xf numFmtId="0" fontId="30" fillId="0" borderId="12" xfId="0" applyFont="1" applyBorder="1" applyAlignment="1">
      <alignment vertical="center" wrapText="1"/>
    </xf>
    <xf numFmtId="164" fontId="10" fillId="39" borderId="1" xfId="0" applyNumberFormat="1" applyFont="1" applyFill="1" applyBorder="1" applyAlignment="1">
      <alignment horizontal="center" vertical="center" wrapText="1"/>
    </xf>
    <xf numFmtId="164" fontId="10" fillId="39" borderId="1" xfId="0" applyNumberFormat="1" applyFont="1" applyFill="1" applyBorder="1" applyAlignment="1">
      <alignment horizontal="right" vertical="center" wrapText="1"/>
    </xf>
    <xf numFmtId="164" fontId="12" fillId="39" borderId="1" xfId="0" applyNumberFormat="1" applyFont="1" applyFill="1" applyBorder="1" applyAlignment="1">
      <alignment horizontal="right" vertical="center" wrapText="1"/>
    </xf>
    <xf numFmtId="49" fontId="10" fillId="39" borderId="1" xfId="0" applyNumberFormat="1" applyFont="1" applyFill="1" applyBorder="1" applyAlignment="1">
      <alignment horizontal="center" vertical="center" wrapText="1"/>
    </xf>
    <xf numFmtId="49" fontId="12" fillId="39" borderId="1" xfId="0" applyNumberFormat="1" applyFont="1" applyFill="1" applyBorder="1" applyAlignment="1">
      <alignment horizontal="center" vertical="center" wrapText="1"/>
    </xf>
    <xf numFmtId="165" fontId="10" fillId="39" borderId="1" xfId="0" applyNumberFormat="1" applyFont="1" applyFill="1" applyBorder="1" applyAlignment="1">
      <alignment horizontal="center" vertical="center" wrapText="1"/>
    </xf>
    <xf numFmtId="164" fontId="10" fillId="39" borderId="4" xfId="0" applyNumberFormat="1" applyFont="1" applyFill="1" applyBorder="1" applyAlignment="1">
      <alignment horizontal="center" vertical="center" wrapText="1"/>
    </xf>
    <xf numFmtId="165" fontId="10" fillId="39" borderId="4" xfId="0" applyNumberFormat="1" applyFont="1" applyFill="1" applyBorder="1" applyAlignment="1">
      <alignment horizontal="center" vertical="center" wrapText="1"/>
    </xf>
    <xf numFmtId="164" fontId="11" fillId="37" borderId="1" xfId="0" applyNumberFormat="1" applyFont="1" applyFill="1" applyBorder="1" applyAlignment="1">
      <alignment horizontal="center" vertical="center" wrapText="1"/>
    </xf>
    <xf numFmtId="0" fontId="11" fillId="37"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72" fontId="11"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173" fontId="11" fillId="31" borderId="1" xfId="0" applyNumberFormat="1" applyFont="1" applyFill="1" applyBorder="1" applyAlignment="1">
      <alignment horizontal="center" vertical="center" wrapText="1"/>
    </xf>
    <xf numFmtId="0" fontId="11" fillId="31" borderId="1" xfId="0" applyFont="1" applyFill="1" applyBorder="1" applyAlignment="1">
      <alignment horizontal="center" vertical="center" wrapText="1"/>
    </xf>
    <xf numFmtId="170" fontId="11" fillId="31" borderId="1" xfId="0" applyNumberFormat="1" applyFont="1" applyFill="1" applyBorder="1" applyAlignment="1">
      <alignment horizontal="center" vertical="center" wrapText="1"/>
    </xf>
    <xf numFmtId="0" fontId="11" fillId="23" borderId="1" xfId="0" applyFont="1" applyFill="1" applyBorder="1" applyAlignment="1">
      <alignment horizontal="center" vertical="center" wrapText="1"/>
    </xf>
    <xf numFmtId="10" fontId="11" fillId="30" borderId="1" xfId="0" applyNumberFormat="1" applyFont="1" applyFill="1" applyBorder="1" applyAlignment="1">
      <alignment horizontal="center" vertical="center" wrapText="1"/>
    </xf>
    <xf numFmtId="164" fontId="11" fillId="30" borderId="1" xfId="0" applyNumberFormat="1" applyFont="1" applyFill="1" applyBorder="1" applyAlignment="1">
      <alignment horizontal="center" vertical="center" wrapText="1"/>
    </xf>
    <xf numFmtId="0" fontId="11" fillId="40" borderId="1"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41" borderId="1" xfId="0" applyFont="1" applyFill="1" applyBorder="1" applyAlignment="1">
      <alignment horizontal="center" vertical="center" wrapText="1"/>
    </xf>
    <xf numFmtId="0" fontId="11" fillId="38" borderId="1" xfId="0"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2" fontId="11" fillId="31" borderId="1" xfId="0" applyNumberFormat="1" applyFont="1" applyFill="1" applyBorder="1" applyAlignment="1">
      <alignment horizontal="center" vertical="center" wrapText="1"/>
    </xf>
    <xf numFmtId="0" fontId="11" fillId="42" borderId="1" xfId="0" applyFont="1" applyFill="1" applyBorder="1" applyAlignment="1">
      <alignment horizontal="center" vertical="center" wrapText="1"/>
    </xf>
    <xf numFmtId="164" fontId="0" fillId="0" borderId="8" xfId="0" applyNumberFormat="1" applyBorder="1" applyAlignment="1">
      <alignment horizontal="center" vertical="center" wrapText="1"/>
    </xf>
    <xf numFmtId="164" fontId="11" fillId="0" borderId="4" xfId="0" applyNumberFormat="1" applyFont="1" applyBorder="1" applyAlignment="1">
      <alignment horizontal="right" vertical="center"/>
    </xf>
    <xf numFmtId="10" fontId="12" fillId="14" borderId="1" xfId="0" applyNumberFormat="1" applyFont="1" applyFill="1" applyBorder="1" applyAlignment="1">
      <alignment horizontal="right" vertical="center" wrapText="1"/>
    </xf>
    <xf numFmtId="164" fontId="12" fillId="14" borderId="1" xfId="0" applyNumberFormat="1" applyFont="1" applyFill="1" applyBorder="1" applyAlignment="1">
      <alignment horizontal="right" vertical="center" wrapText="1"/>
    </xf>
    <xf numFmtId="0" fontId="11" fillId="28" borderId="0" xfId="0" applyFont="1" applyFill="1" applyAlignment="1">
      <alignment horizontal="center" vertical="center" wrapText="1"/>
    </xf>
    <xf numFmtId="0" fontId="13" fillId="20" borderId="1" xfId="0" applyFont="1" applyFill="1" applyBorder="1" applyAlignment="1">
      <alignment vertical="center" wrapText="1"/>
    </xf>
    <xf numFmtId="0" fontId="11" fillId="0" borderId="9" xfId="0" applyFont="1" applyBorder="1" applyAlignment="1">
      <alignment horizontal="center" wrapText="1"/>
    </xf>
    <xf numFmtId="0" fontId="11" fillId="0" borderId="8" xfId="0" applyFont="1" applyBorder="1" applyAlignment="1">
      <alignment horizontal="center" wrapText="1"/>
    </xf>
    <xf numFmtId="0" fontId="11" fillId="45" borderId="1" xfId="0" applyFont="1" applyFill="1" applyBorder="1" applyAlignment="1">
      <alignment horizontal="center" vertical="center" wrapText="1"/>
    </xf>
    <xf numFmtId="164" fontId="12" fillId="20" borderId="4" xfId="0" applyNumberFormat="1" applyFont="1" applyFill="1" applyBorder="1" applyAlignment="1">
      <alignment horizontal="right" vertical="center" wrapText="1"/>
    </xf>
    <xf numFmtId="0" fontId="11" fillId="46" borderId="1" xfId="0" applyFont="1" applyFill="1" applyBorder="1" applyAlignment="1">
      <alignment horizontal="center" vertical="center" wrapText="1"/>
    </xf>
    <xf numFmtId="0" fontId="10" fillId="0" borderId="0" xfId="0" applyFont="1" applyAlignment="1">
      <alignment horizontal="left" vertical="top" wrapText="1"/>
    </xf>
    <xf numFmtId="0" fontId="12" fillId="0" borderId="0" xfId="0" applyFont="1" applyAlignment="1">
      <alignment horizontal="left"/>
    </xf>
    <xf numFmtId="0" fontId="10" fillId="0" borderId="0" xfId="0" applyFont="1" applyAlignment="1">
      <alignment horizontal="left"/>
    </xf>
    <xf numFmtId="0" fontId="36" fillId="0" borderId="1" xfId="0" applyFont="1" applyBorder="1" applyAlignment="1">
      <alignment horizontal="center"/>
    </xf>
    <xf numFmtId="164" fontId="11" fillId="14" borderId="1" xfId="0" applyNumberFormat="1"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39" borderId="1" xfId="0" applyFont="1" applyFill="1" applyBorder="1" applyAlignment="1">
      <alignment horizontal="center" vertical="center" wrapText="1"/>
    </xf>
    <xf numFmtId="164" fontId="11" fillId="39" borderId="1" xfId="0" applyNumberFormat="1" applyFont="1" applyFill="1" applyBorder="1" applyAlignment="1">
      <alignment horizontal="center" vertical="center" wrapText="1"/>
    </xf>
    <xf numFmtId="0" fontId="12" fillId="20" borderId="1" xfId="0" applyFont="1" applyFill="1" applyBorder="1" applyAlignment="1">
      <alignment vertical="center" wrapText="1"/>
    </xf>
    <xf numFmtId="0" fontId="10" fillId="20" borderId="1" xfId="0" applyFont="1" applyFill="1" applyBorder="1" applyAlignment="1">
      <alignment vertical="center" wrapText="1"/>
    </xf>
    <xf numFmtId="0" fontId="13" fillId="20" borderId="4" xfId="0" applyFont="1" applyFill="1" applyBorder="1" applyAlignment="1">
      <alignment vertical="center" wrapText="1"/>
    </xf>
    <xf numFmtId="10" fontId="12" fillId="20" borderId="1" xfId="0" applyNumberFormat="1" applyFont="1" applyFill="1" applyBorder="1" applyAlignment="1">
      <alignment horizontal="right" vertical="center" wrapText="1"/>
    </xf>
    <xf numFmtId="10" fontId="12" fillId="20" borderId="4" xfId="0" applyNumberFormat="1" applyFont="1" applyFill="1" applyBorder="1" applyAlignment="1">
      <alignment horizontal="right" vertical="center" wrapText="1"/>
    </xf>
    <xf numFmtId="2" fontId="12" fillId="29" borderId="1" xfId="0" applyNumberFormat="1" applyFont="1" applyFill="1" applyBorder="1" applyAlignment="1">
      <alignment horizontal="center" vertical="center" wrapText="1"/>
    </xf>
    <xf numFmtId="0" fontId="11" fillId="45" borderId="0" xfId="0" applyFont="1" applyFill="1" applyAlignment="1">
      <alignment horizontal="center" vertical="center" wrapText="1"/>
    </xf>
    <xf numFmtId="0" fontId="12" fillId="45" borderId="4" xfId="0" applyFont="1" applyFill="1" applyBorder="1" applyAlignment="1">
      <alignment horizontal="center" vertical="center" wrapText="1"/>
    </xf>
    <xf numFmtId="0" fontId="12" fillId="45" borderId="1" xfId="0" applyFont="1" applyFill="1" applyBorder="1" applyAlignment="1">
      <alignment horizontal="center" vertical="center" wrapText="1"/>
    </xf>
    <xf numFmtId="0" fontId="10" fillId="47" borderId="4" xfId="0" applyFont="1" applyFill="1" applyBorder="1" applyAlignment="1">
      <alignment horizontal="center" vertical="center" wrapText="1"/>
    </xf>
    <xf numFmtId="0" fontId="12" fillId="47" borderId="4" xfId="0" applyFont="1" applyFill="1" applyBorder="1" applyAlignment="1">
      <alignment horizontal="center" vertical="center" wrapText="1"/>
    </xf>
    <xf numFmtId="0" fontId="10" fillId="47" borderId="1" xfId="0" applyFont="1" applyFill="1" applyBorder="1" applyAlignment="1">
      <alignment horizontal="center" vertical="center" wrapText="1"/>
    </xf>
    <xf numFmtId="0" fontId="12" fillId="47" borderId="1" xfId="0" applyFont="1" applyFill="1" applyBorder="1" applyAlignment="1">
      <alignment horizontal="center" vertical="center" wrapText="1"/>
    </xf>
    <xf numFmtId="0" fontId="10" fillId="36" borderId="4" xfId="0" applyFont="1" applyFill="1" applyBorder="1" applyAlignment="1">
      <alignment horizontal="center" vertical="center" wrapText="1"/>
    </xf>
    <xf numFmtId="0" fontId="12" fillId="36" borderId="4" xfId="0" applyFont="1" applyFill="1" applyBorder="1" applyAlignment="1">
      <alignment horizontal="center" vertical="center" wrapText="1"/>
    </xf>
    <xf numFmtId="0" fontId="10" fillId="36" borderId="1" xfId="0" applyFont="1" applyFill="1" applyBorder="1" applyAlignment="1">
      <alignment horizontal="center" vertical="center" wrapText="1"/>
    </xf>
    <xf numFmtId="0" fontId="12" fillId="36" borderId="1" xfId="0" applyFont="1" applyFill="1" applyBorder="1" applyAlignment="1">
      <alignment horizontal="center" vertical="center" wrapText="1"/>
    </xf>
    <xf numFmtId="0" fontId="10" fillId="41" borderId="3" xfId="0" applyFont="1" applyFill="1" applyBorder="1" applyAlignment="1">
      <alignment horizontal="center" vertical="center" wrapText="1"/>
    </xf>
    <xf numFmtId="0" fontId="12" fillId="41" borderId="4" xfId="0" applyFont="1" applyFill="1" applyBorder="1" applyAlignment="1">
      <alignment horizontal="center" vertical="center" wrapText="1"/>
    </xf>
    <xf numFmtId="0" fontId="10" fillId="41" borderId="6" xfId="0" applyFont="1" applyFill="1" applyBorder="1" applyAlignment="1">
      <alignment horizontal="center" vertical="center" wrapText="1"/>
    </xf>
    <xf numFmtId="0" fontId="12" fillId="41" borderId="1" xfId="0" applyFont="1" applyFill="1" applyBorder="1" applyAlignment="1">
      <alignment horizontal="center" vertical="center" wrapText="1"/>
    </xf>
    <xf numFmtId="2" fontId="12" fillId="45" borderId="3" xfId="0" applyNumberFormat="1" applyFont="1" applyFill="1" applyBorder="1" applyAlignment="1">
      <alignment horizontal="center" vertical="center" wrapText="1"/>
    </xf>
    <xf numFmtId="165" fontId="12" fillId="45" borderId="4" xfId="0" applyNumberFormat="1" applyFont="1" applyFill="1" applyBorder="1" applyAlignment="1">
      <alignment horizontal="center" vertical="center" wrapText="1"/>
    </xf>
    <xf numFmtId="2" fontId="12" fillId="45" borderId="4" xfId="0" applyNumberFormat="1" applyFont="1" applyFill="1" applyBorder="1" applyAlignment="1">
      <alignment horizontal="center" vertical="center" wrapText="1"/>
    </xf>
    <xf numFmtId="165" fontId="12" fillId="45" borderId="5" xfId="0" applyNumberFormat="1" applyFont="1" applyFill="1" applyBorder="1" applyAlignment="1">
      <alignment horizontal="center" vertical="center" wrapText="1"/>
    </xf>
    <xf numFmtId="2" fontId="12" fillId="45" borderId="10" xfId="0" applyNumberFormat="1" applyFont="1" applyFill="1" applyBorder="1" applyAlignment="1">
      <alignment horizontal="center" vertical="center" wrapText="1"/>
    </xf>
    <xf numFmtId="165" fontId="12" fillId="45" borderId="10" xfId="0" applyNumberFormat="1" applyFont="1" applyFill="1" applyBorder="1" applyAlignment="1">
      <alignment horizontal="center" vertical="center" wrapText="1"/>
    </xf>
    <xf numFmtId="2" fontId="12" fillId="45" borderId="6" xfId="0" applyNumberFormat="1" applyFont="1" applyFill="1" applyBorder="1" applyAlignment="1">
      <alignment horizontal="center" vertical="center" wrapText="1"/>
    </xf>
    <xf numFmtId="165" fontId="12" fillId="45" borderId="1" xfId="0" applyNumberFormat="1" applyFont="1" applyFill="1" applyBorder="1" applyAlignment="1">
      <alignment horizontal="center" vertical="center" wrapText="1"/>
    </xf>
    <xf numFmtId="2" fontId="12" fillId="45" borderId="1" xfId="0" applyNumberFormat="1" applyFont="1" applyFill="1" applyBorder="1" applyAlignment="1">
      <alignment horizontal="center" vertical="center" wrapText="1"/>
    </xf>
    <xf numFmtId="2" fontId="11" fillId="45" borderId="6" xfId="0" applyNumberFormat="1" applyFont="1" applyFill="1" applyBorder="1" applyAlignment="1">
      <alignment horizontal="center" vertical="center" wrapText="1"/>
    </xf>
    <xf numFmtId="2" fontId="12" fillId="48" borderId="1" xfId="0" applyNumberFormat="1" applyFont="1" applyFill="1" applyBorder="1" applyAlignment="1">
      <alignment horizontal="center" vertical="center" wrapText="1"/>
    </xf>
    <xf numFmtId="0" fontId="0" fillId="12" borderId="1" xfId="0" applyFill="1" applyBorder="1" applyAlignment="1">
      <alignment horizontal="center" vertical="center" wrapText="1"/>
    </xf>
    <xf numFmtId="164" fontId="12" fillId="46" borderId="4" xfId="0" applyNumberFormat="1" applyFont="1" applyFill="1" applyBorder="1" applyAlignment="1">
      <alignment horizontal="right" vertical="center" wrapText="1"/>
    </xf>
    <xf numFmtId="17" fontId="13"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2" fontId="10" fillId="29" borderId="1" xfId="0" applyNumberFormat="1" applyFont="1" applyFill="1" applyBorder="1" applyAlignment="1">
      <alignment horizontal="center" vertical="center" wrapText="1"/>
    </xf>
    <xf numFmtId="0" fontId="15" fillId="50" borderId="0" xfId="26" applyFont="1" applyFill="1"/>
    <xf numFmtId="164" fontId="15" fillId="51" borderId="20" xfId="22" applyNumberFormat="1" applyFont="1" applyFill="1" applyBorder="1"/>
    <xf numFmtId="0" fontId="12" fillId="50" borderId="1" xfId="0" applyFont="1" applyFill="1" applyBorder="1" applyAlignment="1">
      <alignment vertical="center" wrapText="1"/>
    </xf>
    <xf numFmtId="164" fontId="15" fillId="50" borderId="20" xfId="22" applyNumberFormat="1" applyFont="1" applyFill="1" applyBorder="1"/>
    <xf numFmtId="0" fontId="10" fillId="50" borderId="1" xfId="0" applyFont="1" applyFill="1" applyBorder="1" applyAlignment="1">
      <alignment vertical="center" wrapText="1"/>
    </xf>
    <xf numFmtId="2" fontId="12" fillId="50" borderId="1" xfId="0" applyNumberFormat="1" applyFont="1" applyFill="1" applyBorder="1" applyAlignment="1">
      <alignment horizontal="center" vertical="center" wrapText="1"/>
    </xf>
    <xf numFmtId="0" fontId="13" fillId="50" borderId="1" xfId="0" applyFont="1" applyFill="1" applyBorder="1" applyAlignment="1">
      <alignment vertical="center" wrapText="1"/>
    </xf>
    <xf numFmtId="0" fontId="15" fillId="50" borderId="15" xfId="26" applyFont="1" applyFill="1" applyBorder="1"/>
    <xf numFmtId="164" fontId="15" fillId="51" borderId="28" xfId="22" applyNumberFormat="1" applyFont="1" applyFill="1" applyBorder="1"/>
    <xf numFmtId="164" fontId="15" fillId="51" borderId="20" xfId="22" applyNumberFormat="1" applyFont="1" applyFill="1" applyBorder="1" applyAlignment="1">
      <alignment horizontal="right"/>
    </xf>
    <xf numFmtId="2" fontId="10" fillId="20" borderId="1" xfId="0" applyNumberFormat="1" applyFont="1" applyFill="1" applyBorder="1" applyAlignment="1">
      <alignment horizontal="center" vertical="center" wrapText="1"/>
    </xf>
    <xf numFmtId="10" fontId="10" fillId="20" borderId="1" xfId="0" applyNumberFormat="1" applyFont="1" applyFill="1" applyBorder="1" applyAlignment="1">
      <alignment horizontal="right" vertical="center" wrapText="1"/>
    </xf>
    <xf numFmtId="164" fontId="10" fillId="0" borderId="1" xfId="0" applyNumberFormat="1" applyFont="1" applyBorder="1" applyAlignment="1">
      <alignment vertical="center" wrapText="1"/>
    </xf>
    <xf numFmtId="164" fontId="10" fillId="0" borderId="4" xfId="0" applyNumberFormat="1" applyFont="1" applyBorder="1" applyAlignment="1">
      <alignment horizontal="right" vertical="center" wrapText="1"/>
    </xf>
    <xf numFmtId="164" fontId="10" fillId="20" borderId="4" xfId="0" applyNumberFormat="1" applyFont="1" applyFill="1" applyBorder="1" applyAlignment="1">
      <alignment horizontal="right" vertical="center" wrapText="1"/>
    </xf>
    <xf numFmtId="10" fontId="10" fillId="14" borderId="1" xfId="0" applyNumberFormat="1" applyFont="1" applyFill="1" applyBorder="1" applyAlignment="1">
      <alignment horizontal="right" vertical="center" wrapText="1"/>
    </xf>
    <xf numFmtId="164" fontId="10" fillId="14" borderId="1" xfId="0" applyNumberFormat="1" applyFont="1" applyFill="1" applyBorder="1" applyAlignment="1">
      <alignment horizontal="right" vertical="center" wrapText="1"/>
    </xf>
    <xf numFmtId="9" fontId="10" fillId="0" borderId="1" xfId="0" applyNumberFormat="1" applyFont="1" applyBorder="1" applyAlignment="1">
      <alignment horizontal="center" vertical="center" wrapText="1"/>
    </xf>
    <xf numFmtId="0" fontId="10" fillId="41" borderId="4" xfId="0" applyFont="1" applyFill="1" applyBorder="1" applyAlignment="1">
      <alignment horizontal="center" vertical="center" wrapText="1"/>
    </xf>
    <xf numFmtId="2" fontId="10" fillId="45" borderId="3" xfId="0" applyNumberFormat="1" applyFont="1" applyFill="1" applyBorder="1" applyAlignment="1">
      <alignment horizontal="center" vertical="center" wrapText="1"/>
    </xf>
    <xf numFmtId="165" fontId="10" fillId="45" borderId="4" xfId="0" applyNumberFormat="1" applyFont="1" applyFill="1" applyBorder="1" applyAlignment="1">
      <alignment horizontal="center" vertical="center" wrapText="1"/>
    </xf>
    <xf numFmtId="2" fontId="10" fillId="45" borderId="4" xfId="0" applyNumberFormat="1" applyFont="1" applyFill="1" applyBorder="1" applyAlignment="1">
      <alignment horizontal="center" vertical="center" wrapText="1"/>
    </xf>
    <xf numFmtId="0" fontId="10" fillId="45" borderId="4" xfId="0" applyFont="1" applyFill="1" applyBorder="1" applyAlignment="1">
      <alignment horizontal="center" vertical="center" wrapText="1"/>
    </xf>
    <xf numFmtId="165" fontId="10" fillId="45" borderId="5" xfId="0" applyNumberFormat="1" applyFont="1" applyFill="1" applyBorder="1" applyAlignment="1">
      <alignment horizontal="center" vertical="center" wrapText="1"/>
    </xf>
    <xf numFmtId="2" fontId="10" fillId="45" borderId="10" xfId="0" applyNumberFormat="1" applyFont="1" applyFill="1" applyBorder="1" applyAlignment="1">
      <alignment horizontal="center" vertical="center" wrapText="1"/>
    </xf>
    <xf numFmtId="165" fontId="10" fillId="45" borderId="10" xfId="0" applyNumberFormat="1" applyFont="1" applyFill="1" applyBorder="1" applyAlignment="1">
      <alignment horizontal="center" vertical="center" wrapText="1"/>
    </xf>
    <xf numFmtId="168" fontId="15" fillId="0" borderId="20" xfId="5" applyNumberFormat="1" applyFont="1" applyFill="1" applyBorder="1"/>
    <xf numFmtId="168" fontId="15" fillId="0" borderId="14" xfId="5" applyNumberFormat="1" applyFont="1" applyFill="1" applyBorder="1"/>
    <xf numFmtId="167" fontId="15" fillId="50" borderId="20" xfId="26" applyNumberFormat="1" applyFont="1" applyFill="1" applyBorder="1"/>
    <xf numFmtId="168" fontId="15" fillId="50" borderId="33" xfId="27" applyNumberFormat="1" applyFont="1" applyFill="1" applyBorder="1"/>
    <xf numFmtId="168" fontId="15" fillId="50" borderId="14" xfId="27" applyNumberFormat="1" applyFont="1" applyFill="1" applyBorder="1"/>
    <xf numFmtId="2" fontId="10" fillId="50" borderId="1" xfId="0" applyNumberFormat="1" applyFont="1" applyFill="1" applyBorder="1" applyAlignment="1">
      <alignment horizontal="center" vertical="center" wrapText="1"/>
    </xf>
    <xf numFmtId="164" fontId="39" fillId="0" borderId="0" xfId="0" applyNumberFormat="1" applyFont="1" applyAlignment="1">
      <alignment horizontal="right" vertical="center" wrapText="1"/>
    </xf>
    <xf numFmtId="0" fontId="12" fillId="49" borderId="1" xfId="0" applyFont="1" applyFill="1" applyBorder="1" applyAlignment="1">
      <alignment vertical="center" wrapText="1"/>
    </xf>
    <xf numFmtId="2" fontId="12" fillId="49" borderId="1" xfId="0" applyNumberFormat="1" applyFont="1" applyFill="1" applyBorder="1" applyAlignment="1">
      <alignment horizontal="center" vertical="center" wrapText="1"/>
    </xf>
    <xf numFmtId="0" fontId="13" fillId="49" borderId="1" xfId="0" applyFont="1" applyFill="1" applyBorder="1" applyAlignment="1">
      <alignment vertical="center" wrapText="1"/>
    </xf>
    <xf numFmtId="0" fontId="13" fillId="49" borderId="1" xfId="0" applyFont="1" applyFill="1" applyBorder="1" applyAlignment="1">
      <alignment horizontal="center" vertical="center" wrapText="1"/>
    </xf>
    <xf numFmtId="164" fontId="12" fillId="49" borderId="1" xfId="0" applyNumberFormat="1" applyFont="1" applyFill="1" applyBorder="1" applyAlignment="1">
      <alignment horizontal="right" vertical="center" wrapText="1"/>
    </xf>
    <xf numFmtId="10" fontId="12" fillId="49" borderId="1" xfId="0" applyNumberFormat="1" applyFont="1" applyFill="1" applyBorder="1" applyAlignment="1">
      <alignment horizontal="right" vertical="center" wrapText="1"/>
    </xf>
    <xf numFmtId="173" fontId="10" fillId="49" borderId="1" xfId="0" applyNumberFormat="1" applyFont="1" applyFill="1" applyBorder="1" applyAlignment="1">
      <alignment horizontal="center" vertical="center" wrapText="1"/>
    </xf>
    <xf numFmtId="0" fontId="10" fillId="49" borderId="1" xfId="0" applyFont="1" applyFill="1" applyBorder="1" applyAlignment="1">
      <alignment horizontal="center" vertical="center" wrapText="1"/>
    </xf>
    <xf numFmtId="170" fontId="10" fillId="49" borderId="1" xfId="0" applyNumberFormat="1" applyFont="1" applyFill="1" applyBorder="1" applyAlignment="1">
      <alignment horizontal="center" vertical="center" wrapText="1"/>
    </xf>
    <xf numFmtId="164" fontId="12" fillId="49" borderId="1" xfId="0" applyNumberFormat="1" applyFont="1" applyFill="1" applyBorder="1" applyAlignment="1">
      <alignment vertical="center" wrapText="1"/>
    </xf>
    <xf numFmtId="164" fontId="12" fillId="49" borderId="3" xfId="0" applyNumberFormat="1" applyFont="1" applyFill="1" applyBorder="1" applyAlignment="1">
      <alignment horizontal="right" vertical="center" wrapText="1"/>
    </xf>
    <xf numFmtId="164" fontId="12" fillId="49" borderId="4" xfId="0" applyNumberFormat="1" applyFont="1" applyFill="1" applyBorder="1" applyAlignment="1">
      <alignment horizontal="right" vertical="center" wrapText="1"/>
    </xf>
    <xf numFmtId="164" fontId="10" fillId="49" borderId="1" xfId="0" applyNumberFormat="1" applyFont="1" applyFill="1" applyBorder="1" applyAlignment="1">
      <alignment horizontal="center" vertical="center" wrapText="1"/>
    </xf>
    <xf numFmtId="0" fontId="12" fillId="49" borderId="1" xfId="0" applyFont="1" applyFill="1" applyBorder="1" applyAlignment="1">
      <alignment horizontal="center" vertical="center" wrapText="1"/>
    </xf>
    <xf numFmtId="164" fontId="10" fillId="49" borderId="1" xfId="0" applyNumberFormat="1" applyFont="1" applyFill="1" applyBorder="1" applyAlignment="1">
      <alignment horizontal="right" vertical="center" wrapText="1"/>
    </xf>
    <xf numFmtId="10" fontId="11" fillId="49" borderId="1" xfId="0" applyNumberFormat="1" applyFont="1" applyFill="1" applyBorder="1" applyAlignment="1">
      <alignment horizontal="right" vertical="center" wrapText="1"/>
    </xf>
    <xf numFmtId="164" fontId="11" fillId="49" borderId="1" xfId="0" applyNumberFormat="1" applyFont="1" applyFill="1" applyBorder="1" applyAlignment="1">
      <alignment horizontal="right" vertical="center" wrapText="1"/>
    </xf>
    <xf numFmtId="9" fontId="12" fillId="49" borderId="1" xfId="0" applyNumberFormat="1" applyFont="1" applyFill="1" applyBorder="1" applyAlignment="1">
      <alignment horizontal="center" vertical="center" wrapText="1"/>
    </xf>
    <xf numFmtId="0" fontId="10" fillId="49" borderId="4" xfId="0" applyFont="1" applyFill="1" applyBorder="1" applyAlignment="1">
      <alignment horizontal="center" vertical="center" wrapText="1"/>
    </xf>
    <xf numFmtId="0" fontId="12" fillId="49" borderId="4" xfId="0" applyFont="1" applyFill="1" applyBorder="1" applyAlignment="1">
      <alignment horizontal="center" vertical="center" wrapText="1"/>
    </xf>
    <xf numFmtId="0" fontId="10" fillId="49" borderId="3" xfId="0" applyFont="1" applyFill="1" applyBorder="1" applyAlignment="1">
      <alignment horizontal="center" vertical="center" wrapText="1"/>
    </xf>
    <xf numFmtId="2" fontId="12" fillId="49" borderId="3" xfId="0" applyNumberFormat="1" applyFont="1" applyFill="1" applyBorder="1" applyAlignment="1">
      <alignment horizontal="center" vertical="center" wrapText="1"/>
    </xf>
    <xf numFmtId="165" fontId="12" fillId="49" borderId="4" xfId="0" applyNumberFormat="1" applyFont="1" applyFill="1" applyBorder="1" applyAlignment="1">
      <alignment horizontal="center" vertical="center" wrapText="1"/>
    </xf>
    <xf numFmtId="2" fontId="12" fillId="49" borderId="4" xfId="0" applyNumberFormat="1" applyFont="1" applyFill="1" applyBorder="1" applyAlignment="1">
      <alignment horizontal="center" vertical="center" wrapText="1"/>
    </xf>
    <xf numFmtId="165" fontId="12" fillId="49" borderId="5" xfId="0" applyNumberFormat="1" applyFont="1" applyFill="1" applyBorder="1" applyAlignment="1">
      <alignment horizontal="center" vertical="center" wrapText="1"/>
    </xf>
    <xf numFmtId="2" fontId="12" fillId="49" borderId="10" xfId="0" applyNumberFormat="1" applyFont="1" applyFill="1" applyBorder="1" applyAlignment="1">
      <alignment horizontal="center" vertical="center" wrapText="1"/>
    </xf>
    <xf numFmtId="165" fontId="12" fillId="49" borderId="10" xfId="0" applyNumberFormat="1" applyFont="1" applyFill="1" applyBorder="1" applyAlignment="1">
      <alignment horizontal="center" vertical="center" wrapText="1"/>
    </xf>
    <xf numFmtId="0" fontId="10" fillId="49" borderId="0" xfId="0" applyFont="1" applyFill="1" applyAlignment="1">
      <alignment vertical="center" wrapText="1"/>
    </xf>
    <xf numFmtId="0" fontId="12" fillId="49" borderId="0" xfId="0" applyFont="1" applyFill="1" applyAlignment="1">
      <alignment vertical="center" wrapText="1"/>
    </xf>
    <xf numFmtId="164" fontId="10" fillId="49" borderId="3" xfId="0" applyNumberFormat="1" applyFont="1" applyFill="1" applyBorder="1" applyAlignment="1">
      <alignment horizontal="right" vertical="center" wrapText="1"/>
    </xf>
    <xf numFmtId="49" fontId="10" fillId="49" borderId="1" xfId="0" applyNumberFormat="1" applyFont="1" applyFill="1" applyBorder="1" applyAlignment="1">
      <alignment horizontal="center" vertical="center" wrapText="1"/>
    </xf>
    <xf numFmtId="0" fontId="38" fillId="49" borderId="0" xfId="0" applyFont="1" applyFill="1" applyAlignment="1">
      <alignment vertical="center" wrapText="1"/>
    </xf>
    <xf numFmtId="0" fontId="11" fillId="49" borderId="1" xfId="0" applyFont="1" applyFill="1" applyBorder="1" applyAlignment="1">
      <alignment vertical="center" wrapText="1"/>
    </xf>
    <xf numFmtId="2" fontId="11" fillId="49" borderId="1" xfId="0" applyNumberFormat="1" applyFont="1" applyFill="1" applyBorder="1" applyAlignment="1">
      <alignment horizontal="center" vertical="center" wrapText="1"/>
    </xf>
    <xf numFmtId="0" fontId="33" fillId="49" borderId="1" xfId="0" applyFont="1" applyFill="1" applyBorder="1" applyAlignment="1">
      <alignment vertical="center" wrapText="1"/>
    </xf>
    <xf numFmtId="0" fontId="33" fillId="49" borderId="1" xfId="0" applyFont="1" applyFill="1" applyBorder="1" applyAlignment="1">
      <alignment horizontal="center" vertical="center" wrapText="1"/>
    </xf>
    <xf numFmtId="173" fontId="11" fillId="49" borderId="1" xfId="0" applyNumberFormat="1" applyFont="1" applyFill="1" applyBorder="1" applyAlignment="1">
      <alignment horizontal="center" vertical="center" wrapText="1"/>
    </xf>
    <xf numFmtId="0" fontId="11" fillId="49" borderId="1" xfId="0" applyFont="1" applyFill="1" applyBorder="1" applyAlignment="1">
      <alignment horizontal="center" vertical="center" wrapText="1"/>
    </xf>
    <xf numFmtId="170" fontId="11" fillId="49" borderId="1" xfId="0" applyNumberFormat="1" applyFont="1" applyFill="1" applyBorder="1" applyAlignment="1">
      <alignment horizontal="center" vertical="center" wrapText="1"/>
    </xf>
    <xf numFmtId="164" fontId="11" fillId="49" borderId="1" xfId="0" applyNumberFormat="1" applyFont="1" applyFill="1" applyBorder="1" applyAlignment="1">
      <alignment vertical="center" wrapText="1"/>
    </xf>
    <xf numFmtId="164" fontId="11" fillId="49" borderId="3" xfId="0" applyNumberFormat="1" applyFont="1" applyFill="1" applyBorder="1" applyAlignment="1">
      <alignment horizontal="right" vertical="center" wrapText="1"/>
    </xf>
    <xf numFmtId="164" fontId="11" fillId="49" borderId="4" xfId="0" applyNumberFormat="1" applyFont="1" applyFill="1" applyBorder="1" applyAlignment="1">
      <alignment horizontal="right" vertical="center" wrapText="1"/>
    </xf>
    <xf numFmtId="164" fontId="11" fillId="49" borderId="1" xfId="0" applyNumberFormat="1" applyFont="1" applyFill="1" applyBorder="1" applyAlignment="1">
      <alignment horizontal="center" vertical="center" wrapText="1"/>
    </xf>
    <xf numFmtId="49" fontId="11" fillId="49" borderId="1" xfId="0" applyNumberFormat="1" applyFont="1" applyFill="1" applyBorder="1" applyAlignment="1">
      <alignment horizontal="center" vertical="center" wrapText="1"/>
    </xf>
    <xf numFmtId="9" fontId="11" fillId="49" borderId="1" xfId="0" applyNumberFormat="1" applyFont="1" applyFill="1" applyBorder="1" applyAlignment="1">
      <alignment horizontal="center" vertical="center" wrapText="1"/>
    </xf>
    <xf numFmtId="0" fontId="11" fillId="49" borderId="4" xfId="0" applyFont="1" applyFill="1" applyBorder="1" applyAlignment="1">
      <alignment horizontal="center" vertical="center" wrapText="1"/>
    </xf>
    <xf numFmtId="0" fontId="11" fillId="49" borderId="3" xfId="0" applyFont="1" applyFill="1" applyBorder="1" applyAlignment="1">
      <alignment horizontal="center" vertical="center" wrapText="1"/>
    </xf>
    <xf numFmtId="2" fontId="11" fillId="49" borderId="3" xfId="0" applyNumberFormat="1" applyFont="1" applyFill="1" applyBorder="1" applyAlignment="1">
      <alignment horizontal="center" vertical="center" wrapText="1"/>
    </xf>
    <xf numFmtId="165" fontId="11" fillId="49" borderId="4" xfId="0" applyNumberFormat="1" applyFont="1" applyFill="1" applyBorder="1" applyAlignment="1">
      <alignment horizontal="center" vertical="center" wrapText="1"/>
    </xf>
    <xf numFmtId="2" fontId="11" fillId="49" borderId="4" xfId="0" applyNumberFormat="1" applyFont="1" applyFill="1" applyBorder="1" applyAlignment="1">
      <alignment horizontal="center" vertical="center" wrapText="1"/>
    </xf>
    <xf numFmtId="165" fontId="11" fillId="49" borderId="5" xfId="0" applyNumberFormat="1" applyFont="1" applyFill="1" applyBorder="1" applyAlignment="1">
      <alignment horizontal="center" vertical="center" wrapText="1"/>
    </xf>
    <xf numFmtId="2" fontId="11" fillId="49" borderId="10" xfId="0" applyNumberFormat="1" applyFont="1" applyFill="1" applyBorder="1" applyAlignment="1">
      <alignment horizontal="center" vertical="center" wrapText="1"/>
    </xf>
    <xf numFmtId="165" fontId="11" fillId="49" borderId="10" xfId="0" applyNumberFormat="1" applyFont="1" applyFill="1" applyBorder="1" applyAlignment="1">
      <alignment horizontal="center" vertical="center" wrapText="1"/>
    </xf>
    <xf numFmtId="0" fontId="40" fillId="49" borderId="0" xfId="0" applyFont="1" applyFill="1" applyAlignment="1">
      <alignment vertical="center" wrapText="1"/>
    </xf>
    <xf numFmtId="0" fontId="11" fillId="49" borderId="0" xfId="0" applyFont="1" applyFill="1" applyAlignment="1">
      <alignment vertical="center" wrapText="1"/>
    </xf>
    <xf numFmtId="0" fontId="12" fillId="41" borderId="1" xfId="0" applyFont="1" applyFill="1" applyBorder="1" applyAlignment="1">
      <alignment vertical="center" wrapText="1"/>
    </xf>
    <xf numFmtId="2" fontId="12" fillId="41" borderId="1" xfId="0" applyNumberFormat="1" applyFont="1" applyFill="1" applyBorder="1" applyAlignment="1">
      <alignment horizontal="center" vertical="center" wrapText="1"/>
    </xf>
    <xf numFmtId="0" fontId="13" fillId="41" borderId="1" xfId="0" applyFont="1" applyFill="1" applyBorder="1" applyAlignment="1">
      <alignment vertical="center" wrapText="1"/>
    </xf>
    <xf numFmtId="173" fontId="11" fillId="31" borderId="7" xfId="0" applyNumberFormat="1" applyFont="1" applyFill="1" applyBorder="1" applyAlignment="1">
      <alignment horizontal="center" vertical="center" wrapText="1"/>
    </xf>
    <xf numFmtId="164" fontId="12" fillId="14" borderId="4" xfId="0" applyNumberFormat="1" applyFont="1" applyFill="1" applyBorder="1" applyAlignment="1">
      <alignment horizontal="right" vertical="center" wrapText="1"/>
    </xf>
    <xf numFmtId="0" fontId="33" fillId="2" borderId="1" xfId="0" applyFont="1" applyFill="1" applyBorder="1" applyAlignment="1">
      <alignment horizontal="center" vertical="center" wrapText="1"/>
    </xf>
    <xf numFmtId="0" fontId="13" fillId="0" borderId="0" xfId="0" applyFont="1"/>
    <xf numFmtId="0" fontId="13" fillId="0" borderId="0" xfId="0" applyFont="1" applyAlignment="1">
      <alignment wrapText="1"/>
    </xf>
    <xf numFmtId="0" fontId="13" fillId="0" borderId="1" xfId="0" applyFont="1" applyBorder="1"/>
    <xf numFmtId="0" fontId="13" fillId="0" borderId="1" xfId="0" applyFont="1" applyBorder="1" applyAlignment="1">
      <alignment wrapText="1"/>
    </xf>
    <xf numFmtId="171" fontId="13" fillId="0" borderId="1" xfId="21" applyNumberFormat="1" applyFont="1" applyBorder="1" applyAlignment="1">
      <alignment wrapText="1"/>
    </xf>
    <xf numFmtId="0" fontId="33" fillId="0" borderId="1" xfId="0" applyFont="1" applyBorder="1"/>
    <xf numFmtId="0" fontId="13" fillId="0" borderId="1" xfId="0" applyFont="1" applyBorder="1" applyAlignment="1">
      <alignment horizontal="left" vertical="center"/>
    </xf>
    <xf numFmtId="0" fontId="13" fillId="0" borderId="1" xfId="0" applyFont="1" applyBorder="1" applyAlignment="1">
      <alignment horizontal="left"/>
    </xf>
    <xf numFmtId="0" fontId="13" fillId="0" borderId="0" xfId="0" applyFont="1" applyAlignment="1">
      <alignment horizontal="left"/>
    </xf>
    <xf numFmtId="0" fontId="13" fillId="0" borderId="1" xfId="0" applyFont="1" applyBorder="1" applyAlignment="1">
      <alignment horizontal="left" wrapText="1"/>
    </xf>
    <xf numFmtId="0" fontId="33" fillId="0" borderId="1" xfId="0" applyFont="1" applyBorder="1" applyAlignment="1">
      <alignment wrapText="1"/>
    </xf>
    <xf numFmtId="0" fontId="13" fillId="0" borderId="1" xfId="0" applyFont="1" applyBorder="1" applyAlignment="1">
      <alignment horizontal="left" vertical="center" wrapText="1"/>
    </xf>
    <xf numFmtId="171" fontId="33" fillId="0" borderId="1" xfId="21" applyNumberFormat="1" applyFont="1" applyBorder="1" applyAlignment="1">
      <alignment wrapText="1"/>
    </xf>
    <xf numFmtId="171" fontId="33" fillId="0" borderId="1" xfId="0" applyNumberFormat="1" applyFont="1" applyBorder="1"/>
    <xf numFmtId="171" fontId="33" fillId="0" borderId="1" xfId="0" applyNumberFormat="1" applyFont="1" applyBorder="1" applyAlignment="1">
      <alignment wrapText="1"/>
    </xf>
    <xf numFmtId="0" fontId="13" fillId="53" borderId="1" xfId="0" applyFont="1" applyFill="1" applyBorder="1" applyAlignment="1">
      <alignment horizontal="left"/>
    </xf>
    <xf numFmtId="0" fontId="13" fillId="53" borderId="1" xfId="0" applyFont="1" applyFill="1" applyBorder="1"/>
    <xf numFmtId="171" fontId="13" fillId="53" borderId="1" xfId="21" applyNumberFormat="1" applyFont="1" applyFill="1" applyBorder="1" applyAlignment="1">
      <alignment wrapText="1"/>
    </xf>
    <xf numFmtId="0" fontId="13" fillId="53" borderId="9" xfId="0" applyFont="1" applyFill="1" applyBorder="1"/>
    <xf numFmtId="0" fontId="33" fillId="53" borderId="9" xfId="0" applyFont="1" applyFill="1" applyBorder="1"/>
    <xf numFmtId="171" fontId="33" fillId="0" borderId="0" xfId="0" applyNumberFormat="1" applyFont="1"/>
    <xf numFmtId="0" fontId="13" fillId="0" borderId="5" xfId="0" applyFont="1" applyBorder="1"/>
    <xf numFmtId="0" fontId="13" fillId="0" borderId="7" xfId="0" applyFont="1" applyBorder="1" applyAlignment="1">
      <alignment horizontal="left"/>
    </xf>
    <xf numFmtId="0" fontId="33" fillId="0" borderId="6" xfId="0" applyFont="1" applyBorder="1" applyAlignment="1">
      <alignment horizontal="right"/>
    </xf>
    <xf numFmtId="0" fontId="33" fillId="0" borderId="0" xfId="0" applyFont="1" applyAlignment="1">
      <alignment horizontal="left"/>
    </xf>
    <xf numFmtId="0" fontId="33" fillId="0" borderId="0" xfId="0" applyFont="1" applyAlignment="1">
      <alignment horizontal="left" vertical="center" wrapText="1"/>
    </xf>
    <xf numFmtId="0" fontId="10" fillId="0" borderId="0" xfId="0" applyFont="1" applyAlignment="1">
      <alignment horizontal="left" vertical="center" wrapText="1"/>
    </xf>
    <xf numFmtId="164" fontId="0" fillId="0" borderId="0" xfId="0" applyNumberFormat="1" applyAlignment="1">
      <alignment horizontal="left" vertical="center" wrapText="1"/>
    </xf>
    <xf numFmtId="10" fontId="0" fillId="0" borderId="0" xfId="0" applyNumberFormat="1" applyAlignment="1">
      <alignment horizontal="left" vertical="center" wrapText="1"/>
    </xf>
    <xf numFmtId="173" fontId="0" fillId="0" borderId="0" xfId="0" applyNumberFormat="1" applyAlignment="1">
      <alignment horizontal="left" vertical="center" wrapText="1"/>
    </xf>
    <xf numFmtId="0" fontId="33" fillId="0" borderId="0" xfId="0" applyFont="1"/>
    <xf numFmtId="0" fontId="33" fillId="0" borderId="0" xfId="0" applyFont="1" applyAlignment="1">
      <alignment horizontal="left" vertical="top" wrapText="1"/>
    </xf>
    <xf numFmtId="0" fontId="33" fillId="2" borderId="4"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0" borderId="1" xfId="0" applyFont="1" applyBorder="1" applyAlignment="1">
      <alignment vertical="center" wrapText="1"/>
    </xf>
    <xf numFmtId="0" fontId="13" fillId="53" borderId="1" xfId="0" applyFont="1" applyFill="1" applyBorder="1" applyAlignment="1">
      <alignment horizontal="center"/>
    </xf>
    <xf numFmtId="0" fontId="33" fillId="0" borderId="6" xfId="0" applyFont="1" applyBorder="1" applyAlignment="1">
      <alignment horizontal="center"/>
    </xf>
    <xf numFmtId="0" fontId="13" fillId="0" borderId="0" xfId="0" applyFont="1" applyAlignment="1">
      <alignment horizontal="center"/>
    </xf>
    <xf numFmtId="0" fontId="41" fillId="0" borderId="1" xfId="0" applyFont="1" applyBorder="1" applyAlignment="1">
      <alignment vertical="center" wrapText="1"/>
    </xf>
    <xf numFmtId="0" fontId="42" fillId="0" borderId="6" xfId="0" applyFont="1" applyBorder="1" applyAlignment="1">
      <alignment horizontal="center" vertical="center" wrapText="1"/>
    </xf>
    <xf numFmtId="164" fontId="42" fillId="25" borderId="1" xfId="0" applyNumberFormat="1" applyFont="1" applyFill="1" applyBorder="1" applyAlignment="1">
      <alignment horizontal="right" vertical="center" wrapText="1"/>
    </xf>
    <xf numFmtId="10" fontId="42" fillId="0" borderId="1" xfId="0" applyNumberFormat="1" applyFont="1" applyBorder="1" applyAlignment="1">
      <alignment horizontal="right" vertical="center" wrapText="1"/>
    </xf>
    <xf numFmtId="10" fontId="42" fillId="0" borderId="1" xfId="0" applyNumberFormat="1" applyFont="1" applyBorder="1" applyAlignment="1">
      <alignment horizontal="center" vertical="center" wrapText="1"/>
    </xf>
    <xf numFmtId="2" fontId="42" fillId="48" borderId="1" xfId="0" applyNumberFormat="1" applyFont="1" applyFill="1" applyBorder="1" applyAlignment="1">
      <alignment horizontal="center" vertical="center" wrapText="1"/>
    </xf>
    <xf numFmtId="164" fontId="42" fillId="0" borderId="1" xfId="0" applyNumberFormat="1" applyFont="1" applyBorder="1" applyAlignment="1">
      <alignment horizontal="center" vertical="center" wrapText="1"/>
    </xf>
    <xf numFmtId="164" fontId="43" fillId="20" borderId="1" xfId="0" applyNumberFormat="1" applyFont="1" applyFill="1" applyBorder="1" applyAlignment="1">
      <alignment horizontal="right" vertical="center" wrapText="1"/>
    </xf>
    <xf numFmtId="164" fontId="42" fillId="20" borderId="1" xfId="0" applyNumberFormat="1" applyFont="1" applyFill="1" applyBorder="1" applyAlignment="1">
      <alignment horizontal="center" vertical="center" wrapText="1"/>
    </xf>
    <xf numFmtId="164" fontId="43" fillId="0" borderId="1" xfId="0" applyNumberFormat="1" applyFont="1" applyBorder="1" applyAlignment="1">
      <alignment horizontal="right" vertical="center" wrapText="1"/>
    </xf>
    <xf numFmtId="0" fontId="42" fillId="0" borderId="1" xfId="0" applyFont="1" applyBorder="1" applyAlignment="1">
      <alignment horizontal="center" vertical="center" wrapText="1"/>
    </xf>
    <xf numFmtId="0" fontId="13" fillId="20" borderId="1" xfId="0" applyFont="1" applyFill="1" applyBorder="1" applyAlignment="1" applyProtection="1">
      <alignment vertical="center" wrapText="1"/>
      <protection locked="0"/>
    </xf>
    <xf numFmtId="0" fontId="12" fillId="41" borderId="3" xfId="0" applyFont="1" applyFill="1" applyBorder="1" applyAlignment="1">
      <alignment horizontal="center" vertical="center" wrapText="1"/>
    </xf>
    <xf numFmtId="0" fontId="12" fillId="49" borderId="3" xfId="0" applyFont="1" applyFill="1" applyBorder="1" applyAlignment="1">
      <alignment horizontal="center" vertical="center" wrapText="1"/>
    </xf>
    <xf numFmtId="0" fontId="12" fillId="41" borderId="6" xfId="0" applyFont="1" applyFill="1" applyBorder="1" applyAlignment="1">
      <alignment horizontal="center" vertical="center" wrapText="1"/>
    </xf>
    <xf numFmtId="0" fontId="12" fillId="32" borderId="3" xfId="0" applyFont="1" applyFill="1" applyBorder="1" applyAlignment="1">
      <alignment horizontal="center" vertical="center" wrapText="1"/>
    </xf>
    <xf numFmtId="0" fontId="11" fillId="36"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2" fontId="12" fillId="0" borderId="3" xfId="0" applyNumberFormat="1" applyFont="1" applyBorder="1" applyAlignment="1">
      <alignment horizontal="center" vertical="center" wrapText="1"/>
    </xf>
    <xf numFmtId="165" fontId="12" fillId="0" borderId="4" xfId="0"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165" fontId="12" fillId="0" borderId="5" xfId="0" applyNumberFormat="1" applyFont="1" applyBorder="1" applyAlignment="1">
      <alignment horizontal="center" vertical="center" wrapText="1"/>
    </xf>
    <xf numFmtId="2" fontId="12" fillId="0" borderId="10" xfId="0" applyNumberFormat="1" applyFont="1" applyBorder="1" applyAlignment="1">
      <alignment horizontal="center" vertical="center" wrapText="1"/>
    </xf>
    <xf numFmtId="165" fontId="12" fillId="0" borderId="10" xfId="0" applyNumberFormat="1" applyFont="1" applyBorder="1" applyAlignment="1">
      <alignment horizontal="center" vertical="center" wrapText="1"/>
    </xf>
    <xf numFmtId="0" fontId="12" fillId="0" borderId="3" xfId="0" applyFont="1" applyBorder="1" applyAlignment="1">
      <alignment horizontal="center" vertical="center" wrapText="1"/>
    </xf>
    <xf numFmtId="164" fontId="12" fillId="0" borderId="3" xfId="0" applyNumberFormat="1" applyFont="1" applyBorder="1" applyAlignment="1">
      <alignment vertical="center" wrapText="1"/>
    </xf>
    <xf numFmtId="0" fontId="13" fillId="0" borderId="0" xfId="0" applyFont="1" applyAlignment="1">
      <alignment vertical="center" wrapText="1"/>
    </xf>
    <xf numFmtId="49" fontId="12"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11" fillId="52" borderId="1" xfId="0" applyFont="1" applyFill="1" applyBorder="1" applyAlignment="1">
      <alignment horizontal="center" vertical="center" wrapText="1"/>
    </xf>
    <xf numFmtId="2" fontId="11" fillId="12" borderId="0" xfId="0" applyNumberFormat="1" applyFont="1" applyFill="1" applyAlignment="1">
      <alignment horizontal="center" vertical="center" wrapText="1"/>
    </xf>
    <xf numFmtId="0" fontId="36" fillId="12" borderId="5" xfId="0" applyFont="1" applyFill="1" applyBorder="1" applyAlignment="1">
      <alignment horizontal="center"/>
    </xf>
    <xf numFmtId="0" fontId="36" fillId="12" borderId="7" xfId="0" applyFont="1" applyFill="1" applyBorder="1" applyAlignment="1">
      <alignment horizontal="center"/>
    </xf>
    <xf numFmtId="0" fontId="36" fillId="12" borderId="6" xfId="0" applyFont="1" applyFill="1" applyBorder="1" applyAlignment="1">
      <alignment horizontal="center"/>
    </xf>
    <xf numFmtId="10" fontId="0" fillId="20" borderId="6" xfId="6" applyNumberFormat="1" applyFont="1" applyFill="1" applyBorder="1" applyAlignment="1">
      <alignment horizontal="center"/>
    </xf>
    <xf numFmtId="10" fontId="0" fillId="20" borderId="3" xfId="6" applyNumberFormat="1" applyFont="1" applyFill="1" applyBorder="1" applyAlignment="1">
      <alignment horizontal="center"/>
    </xf>
    <xf numFmtId="10" fontId="0" fillId="0" borderId="6" xfId="6" applyNumberFormat="1" applyFont="1" applyBorder="1" applyAlignment="1">
      <alignment horizontal="center"/>
    </xf>
    <xf numFmtId="10" fontId="42" fillId="0" borderId="6" xfId="6" applyNumberFormat="1" applyFont="1" applyBorder="1" applyAlignment="1">
      <alignment horizontal="center"/>
    </xf>
    <xf numFmtId="10" fontId="0" fillId="0" borderId="6" xfId="6" applyNumberFormat="1" applyFont="1" applyFill="1" applyBorder="1" applyAlignment="1">
      <alignment horizontal="center"/>
    </xf>
    <xf numFmtId="0" fontId="36" fillId="0" borderId="38" xfId="0" applyFont="1" applyBorder="1"/>
    <xf numFmtId="0" fontId="36" fillId="0" borderId="39" xfId="0" applyFont="1" applyBorder="1" applyAlignment="1">
      <alignment horizontal="center"/>
    </xf>
    <xf numFmtId="3" fontId="36" fillId="0" borderId="39" xfId="0" applyNumberFormat="1" applyFont="1" applyBorder="1" applyAlignment="1" applyProtection="1">
      <alignment horizontal="center"/>
      <protection locked="0"/>
    </xf>
    <xf numFmtId="3" fontId="36" fillId="0" borderId="37" xfId="0" applyNumberFormat="1" applyFont="1" applyBorder="1" applyAlignment="1" applyProtection="1">
      <alignment horizontal="center"/>
      <protection locked="0"/>
    </xf>
    <xf numFmtId="10" fontId="36" fillId="0" borderId="39" xfId="6" applyNumberFormat="1" applyFont="1" applyBorder="1" applyAlignment="1">
      <alignment horizontal="center"/>
    </xf>
    <xf numFmtId="0" fontId="10" fillId="20" borderId="3" xfId="0" applyFont="1" applyFill="1" applyBorder="1" applyAlignment="1" applyProtection="1">
      <alignment horizontal="center"/>
      <protection locked="0"/>
    </xf>
    <xf numFmtId="0" fontId="10" fillId="20" borderId="6" xfId="0" applyFont="1" applyFill="1" applyBorder="1" applyAlignment="1" applyProtection="1">
      <alignment horizontal="center"/>
      <protection locked="0"/>
    </xf>
    <xf numFmtId="0" fontId="10" fillId="20" borderId="1" xfId="0" applyFont="1" applyFill="1" applyBorder="1" applyAlignment="1" applyProtection="1">
      <alignment horizontal="center"/>
      <protection locked="0"/>
    </xf>
    <xf numFmtId="3" fontId="42" fillId="20" borderId="1" xfId="0" applyNumberFormat="1" applyFont="1" applyFill="1" applyBorder="1" applyAlignment="1" applyProtection="1">
      <alignment horizontal="center"/>
      <protection locked="0"/>
    </xf>
    <xf numFmtId="0" fontId="0" fillId="20" borderId="10" xfId="0" applyFill="1" applyBorder="1"/>
    <xf numFmtId="0" fontId="10" fillId="20" borderId="3" xfId="0" applyFont="1" applyFill="1" applyBorder="1" applyAlignment="1">
      <alignment horizontal="center"/>
    </xf>
    <xf numFmtId="0" fontId="10" fillId="20" borderId="3" xfId="61" applyNumberFormat="1" applyFont="1" applyFill="1" applyBorder="1" applyAlignment="1" applyProtection="1">
      <alignment horizontal="center"/>
      <protection locked="0"/>
    </xf>
    <xf numFmtId="0" fontId="0" fillId="20" borderId="5" xfId="0" applyFill="1" applyBorder="1"/>
    <xf numFmtId="0" fontId="10" fillId="20" borderId="1" xfId="0" applyFont="1" applyFill="1" applyBorder="1" applyAlignment="1">
      <alignment horizontal="center"/>
    </xf>
    <xf numFmtId="0" fontId="10" fillId="20" borderId="6" xfId="0" applyFont="1" applyFill="1" applyBorder="1" applyAlignment="1">
      <alignment horizontal="center"/>
    </xf>
    <xf numFmtId="0" fontId="10" fillId="20" borderId="6" xfId="61" applyNumberFormat="1" applyFont="1" applyFill="1" applyBorder="1" applyAlignment="1" applyProtection="1">
      <alignment horizontal="center"/>
      <protection locked="0"/>
    </xf>
    <xf numFmtId="0" fontId="10" fillId="20" borderId="1" xfId="61" applyNumberFormat="1" applyFont="1" applyFill="1" applyBorder="1" applyAlignment="1" applyProtection="1">
      <alignment horizontal="center"/>
      <protection locked="0"/>
    </xf>
    <xf numFmtId="0" fontId="45" fillId="20" borderId="1" xfId="0" applyFont="1" applyFill="1" applyBorder="1" applyAlignment="1">
      <alignment horizontal="center"/>
    </xf>
    <xf numFmtId="0" fontId="42" fillId="20" borderId="5" xfId="0" applyFont="1" applyFill="1" applyBorder="1"/>
    <xf numFmtId="0" fontId="42" fillId="20" borderId="1" xfId="0" applyFont="1" applyFill="1" applyBorder="1" applyAlignment="1">
      <alignment horizontal="center"/>
    </xf>
    <xf numFmtId="0" fontId="0" fillId="20" borderId="11" xfId="0" applyFill="1" applyBorder="1"/>
    <xf numFmtId="0" fontId="0" fillId="20" borderId="1" xfId="0" applyFill="1" applyBorder="1"/>
    <xf numFmtId="0" fontId="42" fillId="20" borderId="1" xfId="0" applyFont="1" applyFill="1" applyBorder="1"/>
    <xf numFmtId="171" fontId="36" fillId="39" borderId="1" xfId="21" applyNumberFormat="1" applyFont="1" applyFill="1" applyBorder="1" applyAlignment="1">
      <alignment horizontal="center"/>
    </xf>
    <xf numFmtId="171" fontId="36" fillId="0" borderId="37" xfId="21" applyNumberFormat="1" applyFont="1" applyBorder="1" applyAlignment="1">
      <alignment horizontal="center"/>
    </xf>
    <xf numFmtId="171" fontId="10" fillId="20" borderId="4" xfId="21" applyNumberFormat="1" applyFont="1" applyFill="1" applyBorder="1" applyAlignment="1">
      <alignment horizontal="center"/>
    </xf>
    <xf numFmtId="171" fontId="10" fillId="20" borderId="1" xfId="21" applyNumberFormat="1" applyFont="1" applyFill="1" applyBorder="1" applyAlignment="1">
      <alignment horizontal="center"/>
    </xf>
    <xf numFmtId="171" fontId="42" fillId="20" borderId="1" xfId="21" applyNumberFormat="1" applyFont="1" applyFill="1" applyBorder="1" applyAlignment="1">
      <alignment horizontal="center"/>
    </xf>
    <xf numFmtId="171" fontId="0" fillId="0" borderId="0" xfId="21" applyNumberFormat="1" applyFont="1"/>
    <xf numFmtId="0" fontId="46" fillId="0" borderId="1" xfId="0" applyFont="1" applyBorder="1" applyAlignment="1">
      <alignment vertical="center" wrapText="1"/>
    </xf>
    <xf numFmtId="0" fontId="47" fillId="0" borderId="0" xfId="0" applyFont="1" applyAlignment="1">
      <alignment vertical="center" wrapText="1"/>
    </xf>
    <xf numFmtId="167" fontId="48" fillId="0" borderId="14" xfId="26" applyNumberFormat="1" applyFont="1" applyBorder="1"/>
    <xf numFmtId="0" fontId="49" fillId="0" borderId="0" xfId="26" applyFont="1"/>
    <xf numFmtId="167" fontId="50" fillId="9" borderId="0" xfId="26" applyNumberFormat="1" applyFont="1" applyFill="1" applyAlignment="1">
      <alignment vertical="top"/>
    </xf>
    <xf numFmtId="164" fontId="51" fillId="33" borderId="20" xfId="22" applyNumberFormat="1" applyFont="1" applyFill="1" applyBorder="1"/>
    <xf numFmtId="0" fontId="51" fillId="34" borderId="0" xfId="26" applyFont="1" applyFill="1"/>
    <xf numFmtId="167" fontId="52" fillId="13" borderId="0" xfId="26" applyNumberFormat="1" applyFont="1" applyFill="1" applyAlignment="1">
      <alignment vertical="top"/>
    </xf>
    <xf numFmtId="167" fontId="53" fillId="10" borderId="0" xfId="26" applyNumberFormat="1" applyFont="1" applyFill="1" applyAlignment="1">
      <alignment vertical="top"/>
    </xf>
    <xf numFmtId="167" fontId="54" fillId="50" borderId="14" xfId="26" applyNumberFormat="1" applyFont="1" applyFill="1" applyBorder="1"/>
    <xf numFmtId="164" fontId="11" fillId="39" borderId="0" xfId="0" applyNumberFormat="1" applyFont="1" applyFill="1" applyAlignment="1">
      <alignment horizontal="center" vertical="center" wrapText="1"/>
    </xf>
    <xf numFmtId="164" fontId="11" fillId="44" borderId="12" xfId="0" applyNumberFormat="1" applyFont="1" applyFill="1" applyBorder="1" applyAlignment="1">
      <alignment horizontal="center" vertical="center"/>
    </xf>
    <xf numFmtId="164" fontId="11" fillId="44" borderId="26" xfId="0" applyNumberFormat="1" applyFont="1" applyFill="1" applyBorder="1" applyAlignment="1">
      <alignment horizontal="center" vertical="center"/>
    </xf>
    <xf numFmtId="164" fontId="11" fillId="44" borderId="13" xfId="0" applyNumberFormat="1" applyFont="1" applyFill="1" applyBorder="1" applyAlignment="1">
      <alignment horizontal="center" vertical="center"/>
    </xf>
    <xf numFmtId="164" fontId="11" fillId="44" borderId="10" xfId="0" applyNumberFormat="1" applyFont="1" applyFill="1" applyBorder="1" applyAlignment="1">
      <alignment horizontal="center" vertical="center"/>
    </xf>
    <xf numFmtId="164" fontId="11" fillId="44" borderId="2" xfId="0" applyNumberFormat="1" applyFont="1" applyFill="1" applyBorder="1" applyAlignment="1">
      <alignment horizontal="center" vertical="center"/>
    </xf>
    <xf numFmtId="164" fontId="11" fillId="44" borderId="3" xfId="0" applyNumberFormat="1" applyFont="1" applyFill="1" applyBorder="1" applyAlignment="1">
      <alignment horizontal="center" vertical="center"/>
    </xf>
    <xf numFmtId="0" fontId="11" fillId="14" borderId="5" xfId="0" applyFont="1" applyFill="1" applyBorder="1" applyAlignment="1">
      <alignment horizontal="center" wrapText="1"/>
    </xf>
    <xf numFmtId="0" fontId="11" fillId="14" borderId="7" xfId="0" applyFont="1" applyFill="1" applyBorder="1" applyAlignment="1">
      <alignment horizontal="center" wrapText="1"/>
    </xf>
    <xf numFmtId="0" fontId="11" fillId="14" borderId="6" xfId="0" applyFont="1" applyFill="1" applyBorder="1" applyAlignment="1">
      <alignment horizontal="center" wrapText="1"/>
    </xf>
    <xf numFmtId="164" fontId="11" fillId="39" borderId="5" xfId="0" applyNumberFormat="1" applyFont="1" applyFill="1" applyBorder="1" applyAlignment="1">
      <alignment horizontal="center" vertical="center" wrapText="1"/>
    </xf>
    <xf numFmtId="164" fontId="11" fillId="39" borderId="7" xfId="0" applyNumberFormat="1" applyFont="1" applyFill="1" applyBorder="1" applyAlignment="1">
      <alignment horizontal="center" vertical="center" wrapText="1"/>
    </xf>
    <xf numFmtId="164" fontId="11" fillId="39" borderId="6" xfId="0" applyNumberFormat="1" applyFont="1" applyFill="1" applyBorder="1" applyAlignment="1">
      <alignment horizontal="center" vertical="center" wrapText="1"/>
    </xf>
    <xf numFmtId="164" fontId="10" fillId="44" borderId="12" xfId="0" applyNumberFormat="1" applyFont="1" applyFill="1" applyBorder="1" applyAlignment="1">
      <alignment horizontal="right" vertical="center"/>
    </xf>
    <xf numFmtId="164" fontId="10" fillId="44" borderId="26" xfId="0" applyNumberFormat="1" applyFont="1" applyFill="1" applyBorder="1" applyAlignment="1">
      <alignment horizontal="right" vertical="center"/>
    </xf>
    <xf numFmtId="164" fontId="10" fillId="44" borderId="13" xfId="0" applyNumberFormat="1" applyFont="1" applyFill="1" applyBorder="1" applyAlignment="1">
      <alignment horizontal="right" vertical="center"/>
    </xf>
    <xf numFmtId="164" fontId="10" fillId="44" borderId="11" xfId="0" applyNumberFormat="1" applyFont="1" applyFill="1" applyBorder="1" applyAlignment="1">
      <alignment horizontal="right" vertical="center"/>
    </xf>
    <xf numFmtId="164" fontId="10" fillId="44" borderId="0" xfId="0" applyNumberFormat="1" applyFont="1" applyFill="1" applyAlignment="1">
      <alignment horizontal="right" vertical="center"/>
    </xf>
    <xf numFmtId="164" fontId="10" fillId="44" borderId="27" xfId="0" applyNumberFormat="1" applyFont="1" applyFill="1" applyBorder="1" applyAlignment="1">
      <alignment horizontal="right" vertical="center"/>
    </xf>
    <xf numFmtId="164" fontId="10" fillId="44" borderId="10" xfId="0" applyNumberFormat="1" applyFont="1" applyFill="1" applyBorder="1" applyAlignment="1">
      <alignment horizontal="right" vertical="center"/>
    </xf>
    <xf numFmtId="164" fontId="10" fillId="44" borderId="2" xfId="0" applyNumberFormat="1" applyFont="1" applyFill="1" applyBorder="1" applyAlignment="1">
      <alignment horizontal="right" vertical="center"/>
    </xf>
    <xf numFmtId="164" fontId="10" fillId="44" borderId="3" xfId="0" applyNumberFormat="1" applyFont="1" applyFill="1" applyBorder="1" applyAlignment="1">
      <alignment horizontal="right" vertical="center"/>
    </xf>
    <xf numFmtId="0" fontId="39" fillId="44" borderId="10" xfId="0" applyFont="1" applyFill="1" applyBorder="1" applyAlignment="1">
      <alignment horizontal="right" vertical="center"/>
    </xf>
    <xf numFmtId="0" fontId="39" fillId="44" borderId="2" xfId="0" applyFont="1" applyFill="1" applyBorder="1" applyAlignment="1">
      <alignment horizontal="right" vertical="center"/>
    </xf>
    <xf numFmtId="0" fontId="39" fillId="44" borderId="3" xfId="0" applyFont="1" applyFill="1" applyBorder="1" applyAlignment="1">
      <alignment horizontal="right" vertical="center"/>
    </xf>
    <xf numFmtId="10" fontId="0" fillId="0" borderId="5" xfId="0" applyNumberFormat="1" applyBorder="1" applyAlignment="1">
      <alignment horizontal="right" vertical="center"/>
    </xf>
    <xf numFmtId="10" fontId="0" fillId="0" borderId="7" xfId="0" applyNumberFormat="1" applyBorder="1" applyAlignment="1">
      <alignment horizontal="right" vertical="center"/>
    </xf>
    <xf numFmtId="10" fontId="0" fillId="0" borderId="6" xfId="0" applyNumberFormat="1" applyBorder="1" applyAlignment="1">
      <alignment horizontal="right" vertical="center"/>
    </xf>
    <xf numFmtId="10" fontId="11" fillId="0" borderId="0" xfId="0" applyNumberFormat="1" applyFont="1" applyAlignment="1">
      <alignment horizontal="right" vertical="center"/>
    </xf>
    <xf numFmtId="164" fontId="39" fillId="41" borderId="0" xfId="0" applyNumberFormat="1" applyFont="1" applyFill="1" applyAlignment="1">
      <alignment horizontal="center" vertical="center" wrapText="1"/>
    </xf>
    <xf numFmtId="0" fontId="11" fillId="0" borderId="11" xfId="0" applyFont="1" applyBorder="1" applyAlignment="1">
      <alignment horizontal="center" wrapText="1"/>
    </xf>
    <xf numFmtId="0" fontId="11" fillId="0" borderId="0" xfId="0" applyFont="1" applyAlignment="1">
      <alignment horizontal="center" wrapText="1"/>
    </xf>
    <xf numFmtId="164" fontId="39" fillId="0" borderId="0" xfId="0" applyNumberFormat="1" applyFont="1" applyAlignment="1">
      <alignment horizontal="center" vertical="center" wrapText="1"/>
    </xf>
    <xf numFmtId="164" fontId="11" fillId="0" borderId="0" xfId="0" applyNumberFormat="1" applyFont="1" applyAlignment="1">
      <alignment horizontal="center" vertical="center" wrapText="1"/>
    </xf>
    <xf numFmtId="0" fontId="10" fillId="0" borderId="0" xfId="0" applyFont="1" applyAlignment="1">
      <alignment horizontal="left"/>
    </xf>
    <xf numFmtId="0" fontId="12" fillId="0" borderId="0" xfId="0" applyFont="1" applyAlignment="1">
      <alignment horizontal="left"/>
    </xf>
    <xf numFmtId="0" fontId="10" fillId="0" borderId="0" xfId="0" applyFont="1" applyAlignment="1">
      <alignment horizontal="left" vertical="top" wrapText="1"/>
    </xf>
    <xf numFmtId="0" fontId="26" fillId="0" borderId="0" xfId="0" applyFont="1" applyAlignment="1">
      <alignment horizontal="center" vertical="center" wrapText="1"/>
    </xf>
    <xf numFmtId="164" fontId="11" fillId="26" borderId="5" xfId="0" applyNumberFormat="1" applyFont="1" applyFill="1" applyBorder="1" applyAlignment="1">
      <alignment horizontal="center" vertical="center" wrapText="1"/>
    </xf>
    <xf numFmtId="164" fontId="11" fillId="26" borderId="6" xfId="0" applyNumberFormat="1" applyFont="1" applyFill="1" applyBorder="1" applyAlignment="1">
      <alignment horizontal="center" vertical="center" wrapText="1"/>
    </xf>
    <xf numFmtId="0" fontId="11" fillId="43" borderId="5" xfId="0" applyFont="1" applyFill="1" applyBorder="1" applyAlignment="1">
      <alignment horizontal="center" vertical="center" wrapText="1"/>
    </xf>
    <xf numFmtId="0" fontId="11" fillId="43" borderId="7" xfId="0" applyFont="1" applyFill="1" applyBorder="1" applyAlignment="1">
      <alignment horizontal="center" vertical="center" wrapText="1"/>
    </xf>
    <xf numFmtId="0" fontId="11" fillId="43" borderId="6"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45" borderId="0" xfId="0" applyFont="1" applyFill="1" applyAlignment="1">
      <alignment horizontal="center" vertical="center" wrapText="1"/>
    </xf>
    <xf numFmtId="0" fontId="0" fillId="0" borderId="0" xfId="0" applyAlignment="1">
      <alignment horizontal="left" vertical="center"/>
    </xf>
    <xf numFmtId="173" fontId="11" fillId="31" borderId="5" xfId="0" applyNumberFormat="1" applyFont="1" applyFill="1" applyBorder="1" applyAlignment="1">
      <alignment horizontal="center" vertical="center" wrapText="1"/>
    </xf>
    <xf numFmtId="173" fontId="11" fillId="31" borderId="7" xfId="0" applyNumberFormat="1" applyFont="1" applyFill="1" applyBorder="1" applyAlignment="1">
      <alignment horizontal="center" vertical="center" wrapText="1"/>
    </xf>
    <xf numFmtId="173" fontId="11" fillId="31" borderId="6" xfId="0" applyNumberFormat="1" applyFont="1" applyFill="1" applyBorder="1" applyAlignment="1">
      <alignment horizontal="center" vertical="center" wrapText="1"/>
    </xf>
    <xf numFmtId="164" fontId="11" fillId="23" borderId="5" xfId="0" applyNumberFormat="1" applyFont="1" applyFill="1" applyBorder="1" applyAlignment="1">
      <alignment horizontal="center" vertical="center" wrapText="1"/>
    </xf>
    <xf numFmtId="164" fontId="11" fillId="23" borderId="7" xfId="0" applyNumberFormat="1" applyFont="1" applyFill="1" applyBorder="1" applyAlignment="1">
      <alignment horizontal="center" vertical="center" wrapText="1"/>
    </xf>
    <xf numFmtId="164" fontId="11" fillId="23" borderId="6" xfId="0" applyNumberFormat="1" applyFont="1" applyFill="1" applyBorder="1" applyAlignment="1">
      <alignment horizontal="center" vertical="center" wrapText="1"/>
    </xf>
    <xf numFmtId="0" fontId="11" fillId="40" borderId="5" xfId="0" applyFont="1" applyFill="1" applyBorder="1" applyAlignment="1">
      <alignment horizontal="center" vertical="center" wrapText="1"/>
    </xf>
    <xf numFmtId="0" fontId="11" fillId="40" borderId="7" xfId="0" applyFont="1" applyFill="1" applyBorder="1" applyAlignment="1">
      <alignment horizontal="center" vertical="center" wrapText="1"/>
    </xf>
    <xf numFmtId="0" fontId="11" fillId="40" borderId="6" xfId="0" applyFont="1" applyFill="1" applyBorder="1" applyAlignment="1">
      <alignment horizontal="center" vertical="center" wrapText="1"/>
    </xf>
    <xf numFmtId="164" fontId="33" fillId="0" borderId="2" xfId="0" applyNumberFormat="1" applyFont="1" applyBorder="1" applyAlignment="1">
      <alignment horizontal="center" vertical="center" wrapText="1"/>
    </xf>
    <xf numFmtId="0" fontId="11" fillId="36" borderId="5" xfId="0" applyFont="1" applyFill="1" applyBorder="1" applyAlignment="1">
      <alignment horizontal="center" vertical="center" wrapText="1"/>
    </xf>
    <xf numFmtId="0" fontId="11" fillId="36" borderId="7" xfId="0" applyFont="1" applyFill="1" applyBorder="1" applyAlignment="1">
      <alignment horizontal="center" vertical="center" wrapText="1"/>
    </xf>
    <xf numFmtId="0" fontId="11" fillId="36" borderId="6" xfId="0" applyFont="1" applyFill="1" applyBorder="1" applyAlignment="1">
      <alignment horizontal="center" vertical="center" wrapText="1"/>
    </xf>
    <xf numFmtId="0" fontId="33" fillId="45" borderId="11" xfId="0" applyFont="1" applyFill="1" applyBorder="1" applyAlignment="1">
      <alignment horizontal="center" vertical="center" wrapText="1"/>
    </xf>
    <xf numFmtId="0" fontId="33" fillId="45" borderId="0" xfId="0" applyFont="1" applyFill="1" applyAlignment="1">
      <alignment horizontal="center" vertical="center" wrapText="1"/>
    </xf>
    <xf numFmtId="164" fontId="0" fillId="12" borderId="1" xfId="0" applyNumberFormat="1" applyFill="1" applyBorder="1" applyAlignment="1">
      <alignment horizontal="center" vertical="center" wrapText="1"/>
    </xf>
    <xf numFmtId="0" fontId="34" fillId="0" borderId="2" xfId="0" applyFont="1" applyBorder="1" applyAlignment="1">
      <alignment horizontal="center" vertical="center" wrapText="1"/>
    </xf>
    <xf numFmtId="0" fontId="33" fillId="0" borderId="0" xfId="0" applyFont="1" applyAlignment="1">
      <alignment horizontal="left" vertical="top" wrapText="1"/>
    </xf>
    <xf numFmtId="0" fontId="33" fillId="45" borderId="1"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6" fillId="0" borderId="1" xfId="0" applyFont="1" applyBorder="1" applyAlignment="1">
      <alignment horizontal="center" vertical="center" wrapText="1"/>
    </xf>
    <xf numFmtId="0" fontId="33" fillId="2" borderId="9"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5"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15" fillId="0" borderId="0" xfId="26" applyFont="1" applyAlignment="1">
      <alignment horizontal="left" wrapText="1"/>
    </xf>
    <xf numFmtId="0" fontId="15" fillId="0" borderId="0" xfId="26" applyFont="1" applyAlignment="1">
      <alignment horizontal="left" vertical="center" wrapText="1"/>
    </xf>
    <xf numFmtId="167" fontId="15" fillId="0" borderId="5" xfId="26" applyNumberFormat="1" applyFont="1" applyBorder="1" applyAlignment="1">
      <alignment horizontal="center" vertical="center" wrapText="1"/>
    </xf>
    <xf numFmtId="167" fontId="15" fillId="0" borderId="6" xfId="26" applyNumberFormat="1" applyFont="1" applyBorder="1" applyAlignment="1">
      <alignment horizontal="center" vertical="center" wrapText="1"/>
    </xf>
    <xf numFmtId="167" fontId="15" fillId="0" borderId="5" xfId="26" applyNumberFormat="1" applyFont="1" applyBorder="1" applyAlignment="1">
      <alignment horizontal="center" vertical="center"/>
    </xf>
    <xf numFmtId="167" fontId="15" fillId="0" borderId="6" xfId="26" applyNumberFormat="1" applyFont="1" applyBorder="1" applyAlignment="1">
      <alignment horizontal="center" vertical="center"/>
    </xf>
    <xf numFmtId="168" fontId="15" fillId="0" borderId="5" xfId="27" applyNumberFormat="1" applyFont="1" applyBorder="1" applyAlignment="1">
      <alignment horizontal="center" vertical="center" wrapText="1"/>
    </xf>
    <xf numFmtId="168" fontId="15" fillId="0" borderId="7" xfId="27" applyNumberFormat="1" applyFont="1" applyBorder="1" applyAlignment="1">
      <alignment horizontal="center" vertical="center" wrapText="1"/>
    </xf>
    <xf numFmtId="0" fontId="16" fillId="0" borderId="5" xfId="26" applyFont="1" applyBorder="1" applyAlignment="1">
      <alignment horizontal="center" wrapText="1"/>
    </xf>
    <xf numFmtId="0" fontId="16" fillId="0" borderId="7" xfId="26" applyFont="1" applyBorder="1" applyAlignment="1">
      <alignment horizontal="center" wrapText="1"/>
    </xf>
    <xf numFmtId="0" fontId="16" fillId="0" borderId="6" xfId="26" applyFont="1" applyBorder="1" applyAlignment="1">
      <alignment horizontal="center" wrapText="1"/>
    </xf>
    <xf numFmtId="167" fontId="15" fillId="0" borderId="0" xfId="26" applyNumberFormat="1" applyFont="1" applyAlignment="1">
      <alignment wrapText="1"/>
    </xf>
    <xf numFmtId="167" fontId="16" fillId="20" borderId="12" xfId="26" applyNumberFormat="1" applyFont="1" applyFill="1" applyBorder="1" applyAlignment="1">
      <alignment horizontal="center"/>
    </xf>
    <xf numFmtId="167" fontId="16" fillId="20" borderId="13" xfId="26" applyNumberFormat="1" applyFont="1" applyFill="1" applyBorder="1" applyAlignment="1">
      <alignment horizontal="center"/>
    </xf>
    <xf numFmtId="164" fontId="16" fillId="0" borderId="12" xfId="26" applyNumberFormat="1" applyFont="1" applyBorder="1" applyAlignment="1">
      <alignment horizontal="center"/>
    </xf>
    <xf numFmtId="164" fontId="16" fillId="0" borderId="13" xfId="26" applyNumberFormat="1" applyFont="1" applyBorder="1" applyAlignment="1">
      <alignment horizontal="center"/>
    </xf>
    <xf numFmtId="0" fontId="16" fillId="20" borderId="12" xfId="26" applyFont="1" applyFill="1" applyBorder="1" applyAlignment="1">
      <alignment horizontal="center"/>
    </xf>
    <xf numFmtId="0" fontId="16" fillId="20" borderId="13" xfId="26" applyFont="1" applyFill="1" applyBorder="1" applyAlignment="1">
      <alignment horizontal="center"/>
    </xf>
    <xf numFmtId="0" fontId="16" fillId="0" borderId="12" xfId="26" applyFont="1" applyBorder="1" applyAlignment="1">
      <alignment horizontal="center"/>
    </xf>
    <xf numFmtId="0" fontId="16" fillId="0" borderId="26" xfId="26" applyFont="1" applyBorder="1" applyAlignment="1">
      <alignment horizontal="center"/>
    </xf>
    <xf numFmtId="0" fontId="15" fillId="3" borderId="9" xfId="26" applyFont="1" applyFill="1" applyBorder="1" applyAlignment="1">
      <alignment horizontal="center" textRotation="90" wrapText="1"/>
    </xf>
    <xf numFmtId="0" fontId="15" fillId="3" borderId="4" xfId="26" applyFont="1" applyFill="1" applyBorder="1" applyAlignment="1">
      <alignment horizontal="center" textRotation="90" wrapText="1"/>
    </xf>
    <xf numFmtId="0" fontId="15" fillId="4" borderId="9" xfId="26" applyFont="1" applyFill="1" applyBorder="1" applyAlignment="1">
      <alignment horizontal="center" textRotation="90" wrapText="1"/>
    </xf>
    <xf numFmtId="0" fontId="15" fillId="4" borderId="4" xfId="26" applyFont="1" applyFill="1" applyBorder="1" applyAlignment="1">
      <alignment horizontal="center" textRotation="90" wrapText="1"/>
    </xf>
    <xf numFmtId="0" fontId="15" fillId="4" borderId="25" xfId="26" applyFont="1" applyFill="1" applyBorder="1" applyAlignment="1">
      <alignment horizontal="center" textRotation="90" wrapText="1"/>
    </xf>
    <xf numFmtId="167" fontId="15" fillId="0" borderId="0" xfId="26" applyNumberFormat="1" applyFont="1" applyAlignment="1">
      <alignment horizontal="left" wrapText="1"/>
    </xf>
    <xf numFmtId="0" fontId="36" fillId="41" borderId="1" xfId="0" applyFont="1" applyFill="1" applyBorder="1" applyAlignment="1">
      <alignment horizontal="center" vertical="center"/>
    </xf>
    <xf numFmtId="0" fontId="36" fillId="54" borderId="1" xfId="0" applyFont="1" applyFill="1" applyBorder="1" applyAlignment="1">
      <alignment horizontal="center" wrapText="1"/>
    </xf>
    <xf numFmtId="0" fontId="36" fillId="14" borderId="1" xfId="0" applyFont="1" applyFill="1" applyBorder="1" applyAlignment="1">
      <alignment horizontal="center" vertical="center"/>
    </xf>
  </cellXfs>
  <cellStyles count="62">
    <cellStyle name="Comma" xfId="61" builtinId="3"/>
    <cellStyle name="Comma 2" xfId="2" xr:uid="{00000000-0005-0000-0000-000000000000}"/>
    <cellStyle name="Comma 2 2" xfId="11" xr:uid="{00000000-0005-0000-0000-000001000000}"/>
    <cellStyle name="Comma 2 2 2" xfId="44" xr:uid="{EAEB6CDF-2F26-46B4-B3E7-C9CB66FB7A74}"/>
    <cellStyle name="Comma 2 3" xfId="35" xr:uid="{19FF20D9-B94C-4200-B821-4A3DB1FF4A1A}"/>
    <cellStyle name="Comma 3" xfId="5" xr:uid="{00000000-0005-0000-0000-000002000000}"/>
    <cellStyle name="Comma 3 2" xfId="9" xr:uid="{00000000-0005-0000-0000-000003000000}"/>
    <cellStyle name="Comma 3 2 2" xfId="42" xr:uid="{0AD2FDA1-7F77-4CCD-BDC1-B2FBD2349A1B}"/>
    <cellStyle name="Comma 3 3" xfId="23" xr:uid="{92F872A0-E433-4A75-9F08-958BEBA717C7}"/>
    <cellStyle name="Comma 3 3 2" xfId="54" xr:uid="{C95A6EE8-71F3-43E0-89AC-869AB3EF3DD8}"/>
    <cellStyle name="Comma 3 4" xfId="27" xr:uid="{B9B58F47-46B9-4D8C-8DBD-B4C9E29D0CAC}"/>
    <cellStyle name="Comma 3 4 2" xfId="58" xr:uid="{14093692-A92B-420B-9269-164E43775037}"/>
    <cellStyle name="Comma 3 5" xfId="38" xr:uid="{40F856FE-03E1-4B19-9C1A-FAA4E8F47575}"/>
    <cellStyle name="Currency" xfId="21" builtinId="4"/>
    <cellStyle name="Currency 2" xfId="52" xr:uid="{C804168A-F43A-4A47-ABCC-3FA3151F3DC9}"/>
    <cellStyle name="Normal" xfId="0" builtinId="0"/>
    <cellStyle name="Normal 2" xfId="1" xr:uid="{00000000-0005-0000-0000-000005000000}"/>
    <cellStyle name="Normal 2 2" xfId="12" xr:uid="{00000000-0005-0000-0000-000006000000}"/>
    <cellStyle name="Normal 2 2 2" xfId="45" xr:uid="{C4DCF0C1-F353-4222-B49E-AEE10955868A}"/>
    <cellStyle name="Normal 2 3" xfId="34" xr:uid="{8E1C751D-E002-49AF-BC9F-D7A9E142A346}"/>
    <cellStyle name="Normal 3" xfId="4" xr:uid="{00000000-0005-0000-0000-000007000000}"/>
    <cellStyle name="Normal 3 2" xfId="8" xr:uid="{00000000-0005-0000-0000-000008000000}"/>
    <cellStyle name="Normal 3 2 2" xfId="41" xr:uid="{D596B852-A7A2-4532-9C5F-72B4C833C1D1}"/>
    <cellStyle name="Normal 3 3" xfId="22" xr:uid="{B2947836-F416-4BC6-89D6-EDF578321548}"/>
    <cellStyle name="Normal 3 3 2" xfId="53" xr:uid="{E0DC9715-9B78-4DDE-A1ED-FAA32EFE074E}"/>
    <cellStyle name="Normal 3 4" xfId="26" xr:uid="{292C6BED-CDC6-427D-9D4B-C5BAC8287C04}"/>
    <cellStyle name="Normal 3 4 2" xfId="32" xr:uid="{523659E2-0D7D-4349-8A4A-D19CF62E6A83}"/>
    <cellStyle name="Normal 3 4 3" xfId="57" xr:uid="{F8FD3AD7-31A4-48C5-A216-AD49EFC58EA1}"/>
    <cellStyle name="Normal 3 5" xfId="37" xr:uid="{01873217-EB68-43CE-A02A-FB79FCC01458}"/>
    <cellStyle name="Normal 4" xfId="15" xr:uid="{00000000-0005-0000-0000-000009000000}"/>
    <cellStyle name="Normal 5" xfId="7" xr:uid="{00000000-0005-0000-0000-00000A000000}"/>
    <cellStyle name="Normal 5 2" xfId="40" xr:uid="{C234CB82-9EE4-4924-B057-36F151848FC7}"/>
    <cellStyle name="Normal 6" xfId="17" xr:uid="{505C9782-6E76-42B6-AC0B-368EDFAF88F4}"/>
    <cellStyle name="Normal 6 2" xfId="25" xr:uid="{763921C4-AA27-4165-AAB2-626112AE6BA2}"/>
    <cellStyle name="Normal 6 2 2" xfId="56" xr:uid="{13A06049-A800-4738-8E70-76592B5AABEA}"/>
    <cellStyle name="Normal 6 3" xfId="29" xr:uid="{79653454-D6F2-4581-A8C6-C4EEB3F290E2}"/>
    <cellStyle name="Normal 6 3 2" xfId="60" xr:uid="{F4F59E1D-33A4-4316-8C23-9929B183B313}"/>
    <cellStyle name="Normal 6 4" xfId="48" xr:uid="{FE93F659-FA2D-40D5-BA32-8072C075340E}"/>
    <cellStyle name="Normal 7" xfId="19" xr:uid="{E4117876-7D31-4926-A1AA-91F4B28E8171}"/>
    <cellStyle name="Normal 7 2" xfId="50" xr:uid="{AB730501-8DC2-48AC-9568-F68504FC3F43}"/>
    <cellStyle name="Normal 8" xfId="30" xr:uid="{F39A47D1-271E-4565-8E20-F82401607798}"/>
    <cellStyle name="Normal 9" xfId="33" xr:uid="{B794495B-141C-47B3-8867-B86C210D590C}"/>
    <cellStyle name="Percent 2" xfId="3" xr:uid="{00000000-0005-0000-0000-00000C000000}"/>
    <cellStyle name="Percent 2 2" xfId="13" xr:uid="{00000000-0005-0000-0000-00000D000000}"/>
    <cellStyle name="Percent 2 2 2" xfId="46" xr:uid="{915A0A63-4FD9-48CF-8089-F4F139DF9845}"/>
    <cellStyle name="Percent 2 3" xfId="36" xr:uid="{EE72028E-7081-457B-92B3-8FB73B89BD37}"/>
    <cellStyle name="Percent 3" xfId="6" xr:uid="{00000000-0005-0000-0000-00000E000000}"/>
    <cellStyle name="Percent 3 2" xfId="10" xr:uid="{00000000-0005-0000-0000-00000F000000}"/>
    <cellStyle name="Percent 3 2 2" xfId="43" xr:uid="{F6BC4279-EC3E-4414-BF06-ED9D5028CB02}"/>
    <cellStyle name="Percent 3 3" xfId="24" xr:uid="{510AFF47-9E21-4EBD-A4BE-5A4EDC5D261E}"/>
    <cellStyle name="Percent 3 3 2" xfId="55" xr:uid="{58CE65E0-C4C6-493F-AAAB-2AE79754B09F}"/>
    <cellStyle name="Percent 3 4" xfId="28" xr:uid="{23B8BA87-9277-48EE-A552-4D7182887A48}"/>
    <cellStyle name="Percent 3 4 2" xfId="59" xr:uid="{2BCA520D-50F1-47DF-A979-7D5D74391D94}"/>
    <cellStyle name="Percent 3 5" xfId="31" xr:uid="{231FF5AF-869E-4A68-8E55-615DFCBF4FB8}"/>
    <cellStyle name="Percent 3 6" xfId="39" xr:uid="{CD427921-AA36-411D-82EF-6D55A5898BB6}"/>
    <cellStyle name="Percent 4" xfId="16" xr:uid="{00000000-0005-0000-0000-000010000000}"/>
    <cellStyle name="Percent 5" xfId="14" xr:uid="{00000000-0005-0000-0000-000011000000}"/>
    <cellStyle name="Percent 5 2" xfId="47" xr:uid="{7762CBC4-D3A5-40A4-9EC8-90BA3DA37AF5}"/>
    <cellStyle name="Percent 6" xfId="18" xr:uid="{376E1B32-E4DC-49FC-99A1-C4E140EA167D}"/>
    <cellStyle name="Percent 6 2" xfId="49" xr:uid="{0B6B9A9F-5E27-4008-9DAF-7FA4E3CEEE2F}"/>
    <cellStyle name="Percent 7" xfId="20" xr:uid="{625A4ADD-FD56-4BBF-B136-39381B22BC9A}"/>
    <cellStyle name="Percent 7 2" xfId="51" xr:uid="{6AD1740D-3F92-44AF-840B-2E25E6D8583E}"/>
  </cellStyles>
  <dxfs count="39">
    <dxf>
      <fill>
        <patternFill>
          <bgColor rgb="FFFFFF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FF00"/>
        </patternFill>
      </fill>
    </dxf>
  </dxfs>
  <tableStyles count="0" defaultTableStyle="TableStyleMedium9" defaultPivotStyle="PivotStyleLight16"/>
  <colors>
    <mruColors>
      <color rgb="FF9CDB99"/>
      <color rgb="FFC6EAC4"/>
      <color rgb="FF99FF99"/>
      <color rgb="FF70CB6B"/>
      <color rgb="FF3FA43A"/>
      <color rgb="FFF79A1D"/>
      <color rgb="FFFFFF66"/>
      <color rgb="FF81D1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C71A-1EB5-45FC-89C3-33AC600978C0}">
  <sheetPr>
    <tabColor indexed="13"/>
  </sheetPr>
  <dimension ref="B5:M18"/>
  <sheetViews>
    <sheetView zoomScale="170" zoomScaleNormal="170" workbookViewId="0">
      <selection activeCell="I16" sqref="I16:L16"/>
    </sheetView>
  </sheetViews>
  <sheetFormatPr defaultRowHeight="12.5" x14ac:dyDescent="0.25"/>
  <cols>
    <col min="4" max="4" width="8" bestFit="1" customWidth="1"/>
    <col min="5" max="5" width="11.453125" bestFit="1" customWidth="1"/>
    <col min="6" max="6" width="14.26953125" customWidth="1"/>
    <col min="7" max="7" width="11.453125" bestFit="1" customWidth="1"/>
    <col min="8" max="8" width="14.453125" customWidth="1"/>
    <col min="9" max="9" width="11.453125" bestFit="1" customWidth="1"/>
    <col min="10" max="10" width="14.26953125" customWidth="1"/>
    <col min="11" max="11" width="11.453125" bestFit="1" customWidth="1"/>
    <col min="12" max="12" width="15" customWidth="1"/>
    <col min="13" max="13" width="16.7265625" customWidth="1"/>
  </cols>
  <sheetData>
    <row r="5" spans="2:13" x14ac:dyDescent="0.25">
      <c r="B5" s="9"/>
      <c r="C5" s="7"/>
      <c r="D5" s="7"/>
      <c r="E5" s="1"/>
      <c r="F5" s="1"/>
      <c r="G5" s="1"/>
      <c r="H5" s="1"/>
      <c r="I5" s="1"/>
      <c r="J5" s="1"/>
      <c r="K5" s="1"/>
      <c r="L5" s="1"/>
      <c r="M5" s="1"/>
    </row>
    <row r="6" spans="2:13" ht="13" x14ac:dyDescent="0.3">
      <c r="B6" s="679" t="s">
        <v>1277</v>
      </c>
      <c r="C6" s="680"/>
      <c r="D6" s="681"/>
      <c r="E6" s="685" t="s">
        <v>808</v>
      </c>
      <c r="F6" s="686"/>
      <c r="G6" s="686"/>
      <c r="H6" s="687"/>
      <c r="I6" s="688" t="s">
        <v>810</v>
      </c>
      <c r="J6" s="689"/>
      <c r="K6" s="689"/>
      <c r="L6" s="690"/>
      <c r="M6" s="417" t="s">
        <v>368</v>
      </c>
    </row>
    <row r="7" spans="2:13" ht="26" x14ac:dyDescent="0.3">
      <c r="B7" s="682"/>
      <c r="C7" s="683"/>
      <c r="D7" s="684"/>
      <c r="E7" s="426" t="s">
        <v>339</v>
      </c>
      <c r="F7" s="426" t="s">
        <v>809</v>
      </c>
      <c r="G7" s="426" t="s">
        <v>1129</v>
      </c>
      <c r="H7" s="427" t="s">
        <v>1130</v>
      </c>
      <c r="I7" s="428" t="s">
        <v>339</v>
      </c>
      <c r="J7" s="429" t="s">
        <v>798</v>
      </c>
      <c r="K7" s="429" t="s">
        <v>800</v>
      </c>
      <c r="L7" s="429" t="s">
        <v>797</v>
      </c>
      <c r="M7" s="418"/>
    </row>
    <row r="8" spans="2:13" x14ac:dyDescent="0.25">
      <c r="B8" s="691" t="s">
        <v>811</v>
      </c>
      <c r="C8" s="692"/>
      <c r="D8" s="693"/>
      <c r="E8" s="54">
        <v>6319000</v>
      </c>
      <c r="F8" s="54">
        <v>18879000</v>
      </c>
      <c r="G8" s="54">
        <f>+((E8*0.2)+(F8*0.2))</f>
        <v>5039600</v>
      </c>
      <c r="H8" s="54">
        <v>25000000</v>
      </c>
      <c r="I8" s="54">
        <f>1895700-I11</f>
        <v>1695700</v>
      </c>
      <c r="J8" s="54">
        <f>9250710-K8-J9-J10</f>
        <v>6750710</v>
      </c>
      <c r="K8" s="54">
        <v>2000000</v>
      </c>
      <c r="L8" s="54">
        <v>1646000</v>
      </c>
      <c r="M8" s="411"/>
    </row>
    <row r="9" spans="2:13" x14ac:dyDescent="0.25">
      <c r="B9" s="694" t="s">
        <v>230</v>
      </c>
      <c r="C9" s="695"/>
      <c r="D9" s="696"/>
      <c r="E9" s="54"/>
      <c r="F9" s="54"/>
      <c r="G9" s="54"/>
      <c r="H9" s="54"/>
      <c r="I9" s="54"/>
      <c r="J9" s="54">
        <v>300000</v>
      </c>
      <c r="K9" s="54"/>
      <c r="L9" s="54"/>
      <c r="M9" s="411"/>
    </row>
    <row r="10" spans="2:13" x14ac:dyDescent="0.25">
      <c r="B10" s="697" t="s">
        <v>231</v>
      </c>
      <c r="C10" s="698"/>
      <c r="D10" s="699"/>
      <c r="E10" s="55"/>
      <c r="F10" s="55"/>
      <c r="G10" s="55"/>
      <c r="H10" s="55"/>
      <c r="I10" s="55"/>
      <c r="J10" s="55">
        <f>200000</f>
        <v>200000</v>
      </c>
      <c r="K10" s="55"/>
      <c r="L10" s="55"/>
      <c r="M10" s="136"/>
    </row>
    <row r="11" spans="2:13" x14ac:dyDescent="0.25">
      <c r="B11" s="697" t="s">
        <v>920</v>
      </c>
      <c r="C11" s="698"/>
      <c r="D11" s="699"/>
      <c r="E11" s="55"/>
      <c r="F11" s="55"/>
      <c r="G11" s="55"/>
      <c r="H11" s="55"/>
      <c r="I11" s="55">
        <v>200000</v>
      </c>
      <c r="J11" s="55"/>
      <c r="K11" s="55"/>
      <c r="L11" s="55"/>
      <c r="M11" s="136"/>
    </row>
    <row r="12" spans="2:13" ht="13" x14ac:dyDescent="0.25">
      <c r="B12" s="700" t="s">
        <v>1134</v>
      </c>
      <c r="C12" s="701"/>
      <c r="D12" s="702"/>
      <c r="E12" s="412">
        <f t="shared" ref="E12:H12" si="0">+E8+E9+E10</f>
        <v>6319000</v>
      </c>
      <c r="F12" s="412">
        <f t="shared" si="0"/>
        <v>18879000</v>
      </c>
      <c r="G12" s="412">
        <f t="shared" si="0"/>
        <v>5039600</v>
      </c>
      <c r="H12" s="412">
        <f t="shared" si="0"/>
        <v>25000000</v>
      </c>
      <c r="I12" s="412">
        <f>+I8+I9+I10+I11</f>
        <v>1895700</v>
      </c>
      <c r="J12" s="412">
        <v>9250710</v>
      </c>
      <c r="K12" s="412">
        <f>+K8+K9+K10</f>
        <v>2000000</v>
      </c>
      <c r="L12" s="412">
        <f t="shared" ref="L12" si="1">+L8+L9+L10</f>
        <v>1646000</v>
      </c>
      <c r="M12" s="412"/>
    </row>
    <row r="13" spans="2:13" x14ac:dyDescent="0.25">
      <c r="B13" s="703" t="s">
        <v>1131</v>
      </c>
      <c r="C13" s="704"/>
      <c r="D13" s="705"/>
      <c r="E13" s="6">
        <f>+E8*0.04</f>
        <v>252760</v>
      </c>
      <c r="F13" s="6">
        <f>+F8*0.04</f>
        <v>755160</v>
      </c>
      <c r="G13" s="6">
        <v>0</v>
      </c>
      <c r="H13" s="6">
        <v>0</v>
      </c>
      <c r="I13" s="6">
        <v>0</v>
      </c>
      <c r="J13" s="6">
        <v>0</v>
      </c>
      <c r="K13" s="6">
        <v>0</v>
      </c>
      <c r="L13" s="6">
        <f>+L8*0.04</f>
        <v>65840</v>
      </c>
      <c r="M13" s="6">
        <f>+L13+F13+E13</f>
        <v>1073760</v>
      </c>
    </row>
    <row r="14" spans="2:13" x14ac:dyDescent="0.25">
      <c r="B14" s="56"/>
      <c r="C14" s="56"/>
      <c r="D14" s="56" t="s">
        <v>1133</v>
      </c>
      <c r="E14" s="6">
        <v>75000</v>
      </c>
      <c r="F14" s="6">
        <v>0</v>
      </c>
      <c r="G14" s="6">
        <v>0</v>
      </c>
      <c r="H14" s="6">
        <v>0</v>
      </c>
      <c r="I14" s="6">
        <v>0</v>
      </c>
      <c r="J14" s="6">
        <v>0</v>
      </c>
      <c r="K14" s="6">
        <v>0</v>
      </c>
      <c r="L14" s="6">
        <v>0</v>
      </c>
      <c r="M14" s="6"/>
    </row>
    <row r="15" spans="2:13" ht="13" x14ac:dyDescent="0.25">
      <c r="B15" s="6"/>
      <c r="C15" s="706" t="s">
        <v>1132</v>
      </c>
      <c r="D15" s="706"/>
      <c r="E15" s="499">
        <f>+E12-E13-E14</f>
        <v>5991240</v>
      </c>
      <c r="F15" s="499">
        <f>+F12-F13-F14</f>
        <v>18123840</v>
      </c>
      <c r="G15" s="499">
        <f t="shared" ref="G15:L15" si="2">+G12-G13-G14</f>
        <v>5039600</v>
      </c>
      <c r="H15" s="499">
        <f t="shared" si="2"/>
        <v>25000000</v>
      </c>
      <c r="I15" s="499">
        <f t="shared" si="2"/>
        <v>1895700</v>
      </c>
      <c r="J15" s="499">
        <f t="shared" si="2"/>
        <v>9250710</v>
      </c>
      <c r="K15" s="499">
        <f t="shared" si="2"/>
        <v>2000000</v>
      </c>
      <c r="L15" s="499">
        <f t="shared" si="2"/>
        <v>1580160</v>
      </c>
      <c r="M15" s="499"/>
    </row>
    <row r="16" spans="2:13" ht="13" x14ac:dyDescent="0.25">
      <c r="B16" s="6"/>
      <c r="C16" s="6"/>
      <c r="D16" s="7"/>
      <c r="E16" s="707">
        <f>+E15+F15+G15+H15</f>
        <v>54154680</v>
      </c>
      <c r="F16" s="707"/>
      <c r="G16" s="707"/>
      <c r="H16" s="707"/>
      <c r="I16" s="678">
        <f>+I15+J15+K15+L15</f>
        <v>14726570</v>
      </c>
      <c r="J16" s="678"/>
      <c r="K16" s="678"/>
      <c r="L16" s="678"/>
      <c r="M16" s="6"/>
    </row>
    <row r="17" spans="2:13" x14ac:dyDescent="0.25">
      <c r="B17" s="6"/>
      <c r="C17" s="6"/>
      <c r="D17" s="7"/>
      <c r="E17" s="206"/>
      <c r="F17" s="27"/>
      <c r="G17" s="56"/>
      <c r="H17" s="56"/>
      <c r="I17" s="8"/>
      <c r="J17" s="6"/>
      <c r="K17" s="6"/>
      <c r="L17" s="6"/>
      <c r="M17" s="6"/>
    </row>
    <row r="18" spans="2:13" x14ac:dyDescent="0.25">
      <c r="B18" s="6"/>
      <c r="C18" s="6"/>
      <c r="D18" s="7"/>
      <c r="E18" s="206"/>
      <c r="F18" s="9"/>
      <c r="G18" s="7"/>
      <c r="H18" s="7"/>
      <c r="I18" s="8"/>
      <c r="J18" s="6"/>
      <c r="K18" s="6"/>
      <c r="L18" s="6"/>
      <c r="M18" s="6"/>
    </row>
  </sheetData>
  <mergeCells count="12">
    <mergeCell ref="I16:L16"/>
    <mergeCell ref="B6:D7"/>
    <mergeCell ref="E6:H6"/>
    <mergeCell ref="I6:L6"/>
    <mergeCell ref="B8:D8"/>
    <mergeCell ref="B9:D9"/>
    <mergeCell ref="B10:D10"/>
    <mergeCell ref="B11:D11"/>
    <mergeCell ref="B12:D12"/>
    <mergeCell ref="B13:D13"/>
    <mergeCell ref="C15:D15"/>
    <mergeCell ref="E16:H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B72B9-87D2-4251-B8B4-FE9BF36273AD}">
  <sheetPr>
    <tabColor indexed="13"/>
    <pageSetUpPr fitToPage="1"/>
  </sheetPr>
  <dimension ref="A2:BX99"/>
  <sheetViews>
    <sheetView zoomScaleNormal="100" workbookViewId="0">
      <selection activeCell="BV62" activeCellId="3" sqref="BV8:BV12 BV16 BV31 BV62"/>
    </sheetView>
  </sheetViews>
  <sheetFormatPr defaultColWidth="9.1796875" defaultRowHeight="13" outlineLevelCol="1" x14ac:dyDescent="0.25"/>
  <cols>
    <col min="1" max="1" width="7.54296875" style="1" customWidth="1"/>
    <col min="2" max="2" width="13.26953125" style="9" customWidth="1"/>
    <col min="3" max="3" width="39" style="2" customWidth="1"/>
    <col min="4" max="4" width="50.453125" style="2" customWidth="1"/>
    <col min="5" max="5" width="18.81640625" style="2" customWidth="1"/>
    <col min="6" max="6" width="72.7265625" style="2" customWidth="1"/>
    <col min="7" max="7" width="12.54296875" style="2" customWidth="1"/>
    <col min="8" max="8" width="43.7265625" style="4" customWidth="1"/>
    <col min="9" max="9" width="15.1796875" style="4" customWidth="1"/>
    <col min="10" max="10" width="11.453125" style="9" customWidth="1"/>
    <col min="11" max="11" width="13.54296875" style="6" customWidth="1"/>
    <col min="12" max="12" width="11.54296875" style="6" customWidth="1"/>
    <col min="13" max="13" width="9.1796875" style="7" customWidth="1"/>
    <col min="14" max="14" width="15.26953125" style="205" customWidth="1"/>
    <col min="15" max="15" width="13.81640625" style="9" customWidth="1"/>
    <col min="16" max="16" width="14.1796875" style="7" customWidth="1"/>
    <col min="17" max="17" width="12.7265625" style="7" customWidth="1"/>
    <col min="18" max="18" width="18" style="8" customWidth="1" outlineLevel="1"/>
    <col min="19" max="19" width="16.1796875" style="6" customWidth="1" outlineLevel="1"/>
    <col min="20" max="20" width="16.81640625" style="6" customWidth="1" outlineLevel="1"/>
    <col min="21" max="21" width="13" style="6" customWidth="1" outlineLevel="1"/>
    <col min="22" max="22" width="17.81640625" style="6" customWidth="1" outlineLevel="1"/>
    <col min="23" max="23" width="13.453125" style="22" customWidth="1"/>
    <col min="24" max="24" width="11" style="9" customWidth="1"/>
    <col min="25" max="25" width="9.7265625" style="9" customWidth="1"/>
    <col min="26" max="26" width="14.1796875" style="3" customWidth="1" outlineLevel="1"/>
    <col min="27" max="27" width="13.7265625" style="9" customWidth="1" outlineLevel="1"/>
    <col min="28" max="28" width="12.81640625" style="9" customWidth="1" outlineLevel="1"/>
    <col min="29" max="29" width="14.7265625" style="39" customWidth="1" outlineLevel="1"/>
    <col min="30" max="30" width="13" style="39" customWidth="1" outlineLevel="1"/>
    <col min="31" max="32" width="15.7265625" style="39" customWidth="1" outlineLevel="1"/>
    <col min="33" max="35" width="14.7265625" style="39" customWidth="1" outlineLevel="1"/>
    <col min="36" max="36" width="14.7265625" style="5" customWidth="1" outlineLevel="1"/>
    <col min="37" max="37" width="14.81640625" style="9" customWidth="1" outlineLevel="1"/>
    <col min="38" max="38" width="14.7265625" style="3" customWidth="1" outlineLevel="1"/>
    <col min="39" max="39" width="16.26953125" style="9" customWidth="1" outlineLevel="1"/>
    <col min="40" max="40" width="16.1796875" style="3" customWidth="1" outlineLevel="1"/>
    <col min="41" max="41" width="13.54296875" style="3" customWidth="1" outlineLevel="1"/>
    <col min="42" max="42" width="15.26953125" style="95" customWidth="1"/>
    <col min="43" max="43" width="17.7265625" style="3" customWidth="1" outlineLevel="1"/>
    <col min="44" max="44" width="12.54296875" style="9" customWidth="1" outlineLevel="1"/>
    <col min="45" max="45" width="8.81640625" style="22" customWidth="1" outlineLevel="1"/>
    <col min="46" max="46" width="8.81640625" style="9" customWidth="1"/>
    <col min="47" max="47" width="8.54296875" style="9" customWidth="1"/>
    <col min="48" max="48" width="8.81640625" style="9" customWidth="1"/>
    <col min="49" max="49" width="8.54296875" style="9" customWidth="1"/>
    <col min="50" max="50" width="9.7265625" style="9" customWidth="1"/>
    <col min="51" max="51" width="9.54296875" style="9" customWidth="1"/>
    <col min="52" max="52" width="8.7265625" style="9" customWidth="1"/>
    <col min="53" max="53" width="9.7265625" style="9" customWidth="1"/>
    <col min="54" max="54" width="9.1796875" style="9" customWidth="1"/>
    <col min="55" max="60" width="8.81640625" style="9" customWidth="1"/>
    <col min="61" max="61" width="9.54296875" style="9" customWidth="1"/>
    <col min="62" max="62" width="8.81640625" style="9" customWidth="1"/>
    <col min="63" max="63" width="11" style="9" customWidth="1"/>
    <col min="64" max="64" width="9.54296875" style="9" customWidth="1"/>
    <col min="65" max="65" width="9.1796875" style="4" customWidth="1"/>
    <col min="66" max="66" width="9.1796875" style="9" customWidth="1" outlineLevel="1"/>
    <col min="67" max="67" width="12.81640625" style="43" customWidth="1" outlineLevel="1"/>
    <col min="68" max="68" width="12.54296875" style="43" customWidth="1" outlineLevel="1"/>
    <col min="69" max="69" width="9.1796875" style="43" customWidth="1" outlineLevel="1"/>
    <col min="70" max="70" width="10.81640625" style="43" customWidth="1" outlineLevel="1"/>
    <col min="71" max="72" width="13.54296875" style="9" customWidth="1" outlineLevel="1"/>
    <col min="73" max="73" width="12.54296875" style="9" customWidth="1" outlineLevel="1"/>
    <col min="74" max="74" width="27.7265625" style="58" customWidth="1"/>
    <col min="75" max="75" width="17.7265625" style="147" customWidth="1"/>
    <col min="76" max="16384" width="9.1796875" style="1"/>
  </cols>
  <sheetData>
    <row r="2" spans="1:75" s="85" customFormat="1" ht="28" x14ac:dyDescent="0.55000000000000004">
      <c r="B2" s="715" t="s">
        <v>1230</v>
      </c>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c r="AJ2" s="715"/>
      <c r="AK2" s="715"/>
      <c r="AL2" s="715"/>
      <c r="AM2" s="715"/>
      <c r="AN2" s="715"/>
      <c r="AO2" s="715"/>
      <c r="AP2" s="715"/>
      <c r="AQ2" s="715"/>
      <c r="AR2" s="715"/>
      <c r="AS2" s="715"/>
      <c r="AT2" s="715"/>
      <c r="AU2" s="715"/>
      <c r="AV2" s="715"/>
      <c r="AW2" s="715"/>
      <c r="AX2" s="715"/>
      <c r="AY2" s="715"/>
      <c r="AZ2" s="715"/>
      <c r="BA2" s="715"/>
      <c r="BB2" s="715"/>
      <c r="BC2" s="715"/>
      <c r="BD2" s="715"/>
      <c r="BE2" s="715"/>
      <c r="BF2" s="715"/>
      <c r="BG2" s="715"/>
      <c r="BH2" s="715"/>
      <c r="BI2" s="715"/>
      <c r="BJ2" s="715"/>
      <c r="BK2" s="715"/>
      <c r="BL2" s="715"/>
      <c r="BM2" s="715"/>
      <c r="BN2" s="715"/>
      <c r="BO2" s="715"/>
      <c r="BP2" s="715"/>
      <c r="BQ2" s="715"/>
      <c r="BR2" s="715"/>
      <c r="BS2" s="715"/>
      <c r="BT2" s="715"/>
      <c r="BU2" s="715"/>
      <c r="BV2" s="87"/>
      <c r="BW2" s="146"/>
    </row>
    <row r="3" spans="1:75" s="85" customFormat="1" ht="28" x14ac:dyDescent="0.55000000000000004">
      <c r="B3" s="94"/>
      <c r="C3" s="94"/>
      <c r="D3" s="94"/>
      <c r="E3" s="94"/>
      <c r="F3" s="94"/>
      <c r="G3" s="94"/>
      <c r="H3" s="94"/>
      <c r="I3" s="94"/>
      <c r="J3" s="94"/>
      <c r="K3" s="94"/>
      <c r="L3" s="94"/>
      <c r="M3" s="94"/>
      <c r="N3" s="197"/>
      <c r="O3" s="94"/>
      <c r="P3" s="94"/>
      <c r="Q3" s="94"/>
      <c r="R3" s="94"/>
      <c r="S3" s="94"/>
      <c r="T3" s="94"/>
      <c r="U3" s="94"/>
      <c r="V3" s="94"/>
      <c r="W3" s="94"/>
      <c r="X3" s="94"/>
      <c r="Y3" s="94"/>
      <c r="Z3" s="94"/>
      <c r="AA3" s="94"/>
      <c r="AB3" s="95"/>
      <c r="AC3" s="436" t="s">
        <v>339</v>
      </c>
      <c r="AD3" s="172"/>
      <c r="AE3" s="724" t="s">
        <v>338</v>
      </c>
      <c r="AF3" s="724"/>
      <c r="AG3" s="724"/>
      <c r="AH3" s="724"/>
      <c r="AI3" s="724"/>
      <c r="AJ3" s="724"/>
      <c r="AK3" s="724"/>
      <c r="AL3" s="99"/>
      <c r="AM3" s="99"/>
      <c r="AN3" s="99"/>
      <c r="AO3" s="99"/>
      <c r="AP3" s="99"/>
      <c r="AQ3" s="99"/>
      <c r="AR3" s="94"/>
      <c r="AS3" s="94"/>
      <c r="AT3" s="94"/>
      <c r="AU3" s="94"/>
      <c r="AV3" s="94"/>
      <c r="AW3" s="94"/>
      <c r="AX3" s="94"/>
      <c r="AY3" s="94"/>
      <c r="AZ3" s="94"/>
      <c r="BA3" s="94"/>
      <c r="BB3" s="94"/>
      <c r="BC3" s="94"/>
      <c r="BD3" s="94"/>
      <c r="BE3" s="94"/>
      <c r="BF3" s="94"/>
      <c r="BG3" s="94"/>
      <c r="BH3" s="94"/>
      <c r="BI3" s="94"/>
      <c r="BJ3" s="94"/>
      <c r="BK3" s="94"/>
      <c r="BL3" s="94"/>
      <c r="BM3" s="375"/>
      <c r="BN3" s="94"/>
      <c r="BO3" s="94"/>
      <c r="BP3" s="94"/>
      <c r="BQ3" s="94"/>
      <c r="BR3" s="94"/>
      <c r="BS3" s="87"/>
      <c r="BT3" s="146"/>
    </row>
    <row r="4" spans="1:75" ht="30" customHeight="1" x14ac:dyDescent="0.25">
      <c r="B4" s="53"/>
      <c r="C4" s="53"/>
      <c r="D4" s="53"/>
      <c r="E4" s="53"/>
      <c r="F4" s="53"/>
      <c r="G4" s="53"/>
      <c r="H4" s="53"/>
      <c r="I4" s="53"/>
      <c r="J4" s="53"/>
      <c r="K4" s="53"/>
      <c r="L4" s="53"/>
      <c r="M4" s="53"/>
      <c r="N4" s="198"/>
      <c r="O4" s="53"/>
      <c r="P4" s="53"/>
      <c r="Q4" s="53"/>
      <c r="R4" s="53"/>
      <c r="S4" s="53"/>
      <c r="T4" s="53"/>
      <c r="U4" s="53"/>
      <c r="V4" s="53"/>
      <c r="W4" s="53"/>
      <c r="X4" s="53"/>
      <c r="Y4" s="53"/>
      <c r="Z4" s="53"/>
      <c r="AA4" s="53"/>
      <c r="AB4" s="101" t="s">
        <v>346</v>
      </c>
      <c r="AC4" s="8">
        <f>+AC68</f>
        <v>1675700</v>
      </c>
      <c r="AD4" s="8"/>
      <c r="AE4" s="8">
        <f>+AE68</f>
        <v>6625960</v>
      </c>
      <c r="AF4" s="8">
        <f>+AF68</f>
        <v>1580160</v>
      </c>
      <c r="AG4" s="8"/>
      <c r="AH4" s="8">
        <f>+AH68</f>
        <v>70000</v>
      </c>
      <c r="AI4" s="8"/>
      <c r="AJ4" s="8">
        <f>+AJ68</f>
        <v>70000</v>
      </c>
      <c r="AK4" s="8">
        <f>SUM(AK8:AK22,AK23,AK25,AK26+AK35)</f>
        <v>2000000</v>
      </c>
      <c r="AL4" s="53"/>
      <c r="AM4" s="53"/>
      <c r="AN4" s="53"/>
      <c r="AO4" s="53"/>
      <c r="AP4" s="53"/>
      <c r="AQ4" s="53"/>
      <c r="AR4" s="53"/>
      <c r="AS4" s="53"/>
      <c r="AT4" s="53"/>
      <c r="AU4" s="53"/>
      <c r="AV4" s="53"/>
      <c r="AW4" s="53"/>
      <c r="AX4" s="53"/>
      <c r="AY4" s="53"/>
      <c r="AZ4" s="53"/>
      <c r="BA4" s="53"/>
      <c r="BB4" s="53"/>
      <c r="BC4" s="53"/>
      <c r="BD4" s="53"/>
      <c r="BE4" s="53"/>
      <c r="BF4" s="53"/>
      <c r="BG4" s="53"/>
      <c r="BH4" s="53"/>
      <c r="BI4" s="53"/>
      <c r="BJ4" s="739" t="s">
        <v>921</v>
      </c>
      <c r="BK4" s="740"/>
      <c r="BL4" s="740"/>
      <c r="BM4" s="740"/>
      <c r="BN4" s="740"/>
      <c r="BO4" s="740"/>
      <c r="BP4" s="740"/>
      <c r="BQ4" s="740"/>
      <c r="BR4" s="740"/>
      <c r="BS4" s="58"/>
      <c r="BT4" s="147"/>
      <c r="BU4" s="1"/>
      <c r="BV4" s="1"/>
      <c r="BW4" s="1"/>
    </row>
    <row r="5" spans="1:75" s="50" customFormat="1" ht="32.25" customHeight="1" x14ac:dyDescent="0.3">
      <c r="B5" s="95"/>
      <c r="C5" s="99"/>
      <c r="D5" s="99"/>
      <c r="E5" s="99"/>
      <c r="F5" s="99"/>
      <c r="G5" s="99"/>
      <c r="H5" s="28"/>
      <c r="I5" s="28"/>
      <c r="J5" s="95"/>
      <c r="K5" s="53"/>
      <c r="L5" s="53"/>
      <c r="M5" s="53"/>
      <c r="N5" s="199"/>
      <c r="O5" s="95"/>
      <c r="P5" s="97"/>
      <c r="Q5" s="97"/>
      <c r="R5" s="49"/>
      <c r="S5" s="49"/>
      <c r="T5" s="49"/>
      <c r="U5" s="49"/>
      <c r="V5" s="49"/>
      <c r="W5" s="42"/>
      <c r="X5" s="95"/>
      <c r="Y5" s="95"/>
      <c r="Z5" s="100"/>
      <c r="AA5" s="115"/>
      <c r="AB5" s="101" t="s">
        <v>814</v>
      </c>
      <c r="AC5" s="98">
        <f>+R85</f>
        <v>1695700</v>
      </c>
      <c r="AD5" s="172"/>
      <c r="AE5" s="98">
        <f>+S89+395000</f>
        <v>6625960</v>
      </c>
      <c r="AF5" s="98">
        <v>1580160</v>
      </c>
      <c r="AG5" s="172"/>
      <c r="AH5" s="98">
        <v>70000</v>
      </c>
      <c r="AI5" s="8"/>
      <c r="AJ5" s="98">
        <v>75000</v>
      </c>
      <c r="AK5" s="98">
        <f>+T85</f>
        <v>2000000</v>
      </c>
      <c r="AL5" s="94"/>
      <c r="AM5" s="94"/>
      <c r="AN5" s="94"/>
      <c r="AO5" s="95">
        <v>0.2</v>
      </c>
      <c r="AP5" s="95">
        <v>20</v>
      </c>
      <c r="AQ5" s="95">
        <v>10</v>
      </c>
      <c r="AR5" s="95"/>
      <c r="AS5" s="95">
        <v>5</v>
      </c>
      <c r="AT5" s="95">
        <v>10</v>
      </c>
      <c r="AU5" s="95">
        <v>15</v>
      </c>
      <c r="AV5" s="95">
        <v>20</v>
      </c>
      <c r="AW5" s="95">
        <v>25</v>
      </c>
      <c r="AX5" s="95"/>
      <c r="AY5" s="95">
        <v>15</v>
      </c>
      <c r="AZ5" s="95">
        <v>20</v>
      </c>
      <c r="BA5" s="95">
        <v>5</v>
      </c>
      <c r="BB5" s="95">
        <v>10</v>
      </c>
      <c r="BC5" s="95">
        <v>15</v>
      </c>
      <c r="BD5" s="95">
        <v>20</v>
      </c>
      <c r="BE5" s="95"/>
      <c r="BF5" s="95">
        <v>5</v>
      </c>
      <c r="BG5" s="95">
        <v>10</v>
      </c>
      <c r="BH5" s="95">
        <v>15</v>
      </c>
      <c r="BI5" s="95"/>
      <c r="BJ5" s="95"/>
      <c r="BK5" s="95"/>
      <c r="BL5" s="95"/>
      <c r="BM5" s="95"/>
      <c r="BN5" s="104"/>
      <c r="BO5" s="630">
        <v>2</v>
      </c>
      <c r="BP5" s="196">
        <v>5</v>
      </c>
      <c r="BQ5" s="95"/>
      <c r="BR5" s="95"/>
      <c r="BS5" s="95"/>
      <c r="BT5" s="95"/>
      <c r="BU5" s="59"/>
      <c r="BV5" s="148"/>
    </row>
    <row r="6" spans="1:75" s="50" customFormat="1" ht="21" customHeight="1" x14ac:dyDescent="0.3">
      <c r="B6" s="95"/>
      <c r="C6" s="99"/>
      <c r="D6" s="99"/>
      <c r="E6" s="99"/>
      <c r="F6" s="99"/>
      <c r="G6" s="99"/>
      <c r="H6" s="28"/>
      <c r="I6" s="28"/>
      <c r="J6" s="95"/>
      <c r="K6" s="716" t="s">
        <v>242</v>
      </c>
      <c r="L6" s="717"/>
      <c r="M6" s="97"/>
      <c r="N6" s="726" t="s">
        <v>802</v>
      </c>
      <c r="O6" s="727"/>
      <c r="P6" s="727"/>
      <c r="Q6" s="728"/>
      <c r="R6" s="729" t="s">
        <v>803</v>
      </c>
      <c r="S6" s="730"/>
      <c r="T6" s="730"/>
      <c r="U6" s="730"/>
      <c r="V6" s="731"/>
      <c r="W6" s="42"/>
      <c r="X6" s="95"/>
      <c r="Y6" s="95"/>
      <c r="Z6" s="100"/>
      <c r="AA6" s="116" t="s">
        <v>242</v>
      </c>
      <c r="AB6" s="101"/>
      <c r="AC6" s="735" t="s">
        <v>347</v>
      </c>
      <c r="AD6" s="735"/>
      <c r="AE6" s="735"/>
      <c r="AF6" s="735"/>
      <c r="AG6" s="735"/>
      <c r="AH6" s="735"/>
      <c r="AI6" s="735"/>
      <c r="AJ6" s="735"/>
      <c r="AK6" s="735"/>
      <c r="AL6" s="102"/>
      <c r="AM6" s="49"/>
      <c r="AN6" s="49"/>
      <c r="AO6" s="103"/>
      <c r="AP6" s="732" t="s">
        <v>804</v>
      </c>
      <c r="AQ6" s="733"/>
      <c r="AR6" s="734"/>
      <c r="AS6" s="718" t="s">
        <v>805</v>
      </c>
      <c r="AT6" s="719"/>
      <c r="AU6" s="719"/>
      <c r="AV6" s="719"/>
      <c r="AW6" s="719"/>
      <c r="AX6" s="720"/>
      <c r="AY6" s="95"/>
      <c r="AZ6" s="95"/>
      <c r="BA6" s="721" t="s">
        <v>806</v>
      </c>
      <c r="BB6" s="722"/>
      <c r="BC6" s="722"/>
      <c r="BD6" s="722"/>
      <c r="BE6" s="723"/>
      <c r="BF6" s="736" t="s">
        <v>1276</v>
      </c>
      <c r="BG6" s="737"/>
      <c r="BH6" s="737"/>
      <c r="BI6" s="738"/>
      <c r="BJ6" s="95"/>
      <c r="BK6" s="95"/>
      <c r="BL6" s="95"/>
      <c r="BM6" s="95"/>
      <c r="BN6" s="95"/>
      <c r="BO6" s="104"/>
      <c r="BP6" s="104"/>
      <c r="BQ6" s="104"/>
      <c r="BR6" s="104"/>
      <c r="BS6" s="95"/>
      <c r="BT6" s="95"/>
      <c r="BU6" s="95"/>
      <c r="BV6" s="59"/>
      <c r="BW6" s="148"/>
    </row>
    <row r="7" spans="1:75" s="381" customFormat="1" ht="82.5" customHeight="1" x14ac:dyDescent="0.3">
      <c r="A7" s="393" t="s">
        <v>0</v>
      </c>
      <c r="B7" s="393" t="s">
        <v>1</v>
      </c>
      <c r="C7" s="393" t="s">
        <v>22</v>
      </c>
      <c r="D7" s="393" t="s">
        <v>369</v>
      </c>
      <c r="E7" s="393" t="s">
        <v>925</v>
      </c>
      <c r="F7" s="393" t="s">
        <v>4</v>
      </c>
      <c r="G7" s="629" t="s">
        <v>1275</v>
      </c>
      <c r="H7" s="393" t="s">
        <v>926</v>
      </c>
      <c r="I7" s="393" t="s">
        <v>1238</v>
      </c>
      <c r="J7" s="394" t="s">
        <v>351</v>
      </c>
      <c r="K7" s="421" t="s">
        <v>39</v>
      </c>
      <c r="L7" s="421" t="s">
        <v>36</v>
      </c>
      <c r="M7" s="421" t="s">
        <v>23</v>
      </c>
      <c r="N7" s="398" t="s">
        <v>327</v>
      </c>
      <c r="O7" s="399" t="s">
        <v>1140</v>
      </c>
      <c r="P7" s="629" t="s">
        <v>1275</v>
      </c>
      <c r="Q7" s="629" t="s">
        <v>1275</v>
      </c>
      <c r="R7" s="401" t="s">
        <v>234</v>
      </c>
      <c r="S7" s="401" t="s">
        <v>235</v>
      </c>
      <c r="T7" s="401" t="s">
        <v>236</v>
      </c>
      <c r="U7" s="401" t="s">
        <v>233</v>
      </c>
      <c r="V7" s="401" t="s">
        <v>963</v>
      </c>
      <c r="W7" s="393" t="s">
        <v>28</v>
      </c>
      <c r="X7" s="393" t="s">
        <v>5</v>
      </c>
      <c r="Y7" s="393" t="s">
        <v>6</v>
      </c>
      <c r="Z7" s="393" t="s">
        <v>232</v>
      </c>
      <c r="AA7" s="393" t="s">
        <v>37</v>
      </c>
      <c r="AB7" s="402" t="s">
        <v>335</v>
      </c>
      <c r="AC7" s="403" t="s">
        <v>333</v>
      </c>
      <c r="AD7" s="403" t="s">
        <v>334</v>
      </c>
      <c r="AE7" s="403" t="s">
        <v>334</v>
      </c>
      <c r="AF7" s="403" t="s">
        <v>1141</v>
      </c>
      <c r="AG7" s="391" t="s">
        <v>30</v>
      </c>
      <c r="AH7" s="391" t="s">
        <v>32</v>
      </c>
      <c r="AI7" s="391" t="s">
        <v>29</v>
      </c>
      <c r="AJ7" s="391" t="s">
        <v>33</v>
      </c>
      <c r="AK7" s="391" t="s">
        <v>227</v>
      </c>
      <c r="AL7" s="392" t="s">
        <v>31</v>
      </c>
      <c r="AM7" s="394" t="s">
        <v>21</v>
      </c>
      <c r="AN7" s="394" t="s">
        <v>815</v>
      </c>
      <c r="AO7" s="392" t="s">
        <v>7</v>
      </c>
      <c r="AP7" s="404" t="s">
        <v>8</v>
      </c>
      <c r="AQ7" s="404" t="s">
        <v>9</v>
      </c>
      <c r="AR7" s="404" t="s">
        <v>25</v>
      </c>
      <c r="AS7" s="405" t="s">
        <v>10</v>
      </c>
      <c r="AT7" s="405" t="s">
        <v>11</v>
      </c>
      <c r="AU7" s="405" t="s">
        <v>12</v>
      </c>
      <c r="AV7" s="405" t="s">
        <v>13</v>
      </c>
      <c r="AW7" s="405" t="s">
        <v>14</v>
      </c>
      <c r="AX7" s="405" t="s">
        <v>15</v>
      </c>
      <c r="AY7" s="393" t="s">
        <v>241</v>
      </c>
      <c r="AZ7" s="393" t="s">
        <v>16</v>
      </c>
      <c r="BA7" s="427" t="s">
        <v>329</v>
      </c>
      <c r="BB7" s="427" t="s">
        <v>330</v>
      </c>
      <c r="BC7" s="427" t="s">
        <v>331</v>
      </c>
      <c r="BD7" s="427" t="s">
        <v>332</v>
      </c>
      <c r="BE7" s="427" t="s">
        <v>328</v>
      </c>
      <c r="BF7" s="615" t="s">
        <v>1278</v>
      </c>
      <c r="BG7" s="615" t="s">
        <v>1279</v>
      </c>
      <c r="BH7" s="615" t="s">
        <v>1280</v>
      </c>
      <c r="BI7" s="615" t="s">
        <v>1281</v>
      </c>
      <c r="BJ7" s="407" t="s">
        <v>17</v>
      </c>
      <c r="BK7" s="404" t="s">
        <v>18</v>
      </c>
      <c r="BL7" s="408" t="s">
        <v>19</v>
      </c>
      <c r="BM7" s="393" t="s">
        <v>807</v>
      </c>
      <c r="BN7" s="393" t="s">
        <v>20</v>
      </c>
      <c r="BO7" s="409" t="s">
        <v>794</v>
      </c>
      <c r="BP7" s="629" t="s">
        <v>1275</v>
      </c>
      <c r="BQ7" s="406" t="s">
        <v>328</v>
      </c>
      <c r="BR7" s="615" t="s">
        <v>1276</v>
      </c>
      <c r="BS7" s="419" t="s">
        <v>350</v>
      </c>
      <c r="BT7" s="460" t="s">
        <v>1</v>
      </c>
      <c r="BU7" s="410" t="s">
        <v>349</v>
      </c>
      <c r="BV7" s="708" t="s">
        <v>3</v>
      </c>
      <c r="BW7" s="709"/>
    </row>
    <row r="8" spans="1:75" s="20" customFormat="1" ht="108.5" x14ac:dyDescent="0.25">
      <c r="A8" s="11">
        <v>1</v>
      </c>
      <c r="B8" s="21">
        <f t="shared" ref="B8:B22" si="0">+BT8</f>
        <v>61.667968612925236</v>
      </c>
      <c r="C8" s="12" t="s">
        <v>933</v>
      </c>
      <c r="D8" s="12" t="s">
        <v>1068</v>
      </c>
      <c r="E8" s="12" t="s">
        <v>932</v>
      </c>
      <c r="F8" s="12" t="s">
        <v>1181</v>
      </c>
      <c r="G8" s="12"/>
      <c r="H8" s="12"/>
      <c r="I8" s="12" t="s">
        <v>1239</v>
      </c>
      <c r="J8" s="161" t="s">
        <v>1225</v>
      </c>
      <c r="K8" s="13">
        <f>'Calculator Impact  2025'!O12</f>
        <v>816</v>
      </c>
      <c r="L8" s="13">
        <f>'Calculator Impact  2025'!E12</f>
        <v>32138</v>
      </c>
      <c r="M8" s="14">
        <f>'Calculator Impact  2025'!P12</f>
        <v>2.5399999999999999E-2</v>
      </c>
      <c r="N8" s="200">
        <v>45474</v>
      </c>
      <c r="O8" s="33">
        <v>16</v>
      </c>
      <c r="P8" s="61" t="s">
        <v>26</v>
      </c>
      <c r="Q8" s="61" t="s">
        <v>26</v>
      </c>
      <c r="R8" s="15">
        <v>25647500</v>
      </c>
      <c r="S8" s="31">
        <v>14096150</v>
      </c>
      <c r="T8" s="17">
        <f t="shared" ref="T8:T22" si="1">R8-S8</f>
        <v>11551350</v>
      </c>
      <c r="U8" s="16">
        <v>0</v>
      </c>
      <c r="V8" s="17">
        <f t="shared" ref="V8:V18" si="2">IF((T8+U8)&gt;10000000,10000000,(T8+U8))</f>
        <v>10000000</v>
      </c>
      <c r="W8" s="32" t="s">
        <v>26</v>
      </c>
      <c r="X8" s="33" t="s">
        <v>1039</v>
      </c>
      <c r="Y8" s="18">
        <f t="shared" ref="Y8:Y22" si="3">IF(X8="5L",10,IF(X8="5M",16,IF(X8="5H",22,IF(X8="4L",15,IF(X8="4M",21,IF(X8="4H",27,IF(X8="3L",20,IF(X8="3M",26,IF(X8="3H",32,IF(X8="2L",25,IF(X8="2M",31,IF(X8="2H",37,IF(X8="1L",30,IF(X8="1M",36,IF(X8="1H",42,"")))))))))))))))</f>
        <v>27</v>
      </c>
      <c r="Z8" s="37">
        <v>3600000</v>
      </c>
      <c r="AA8" s="21">
        <f>'Calculator Impact  2025'!$Q$12</f>
        <v>10.01</v>
      </c>
      <c r="AB8" s="14">
        <f t="shared" ref="AB8:AB22" si="4">ROUND(IF($AA8&gt;=10,1,IF($AA8&gt;=7,$AA8*$AA8/100,0)),4)</f>
        <v>1</v>
      </c>
      <c r="AC8" s="13">
        <v>0</v>
      </c>
      <c r="AD8" s="14">
        <f t="shared" ref="AD8:AD22" si="5">ROUND(IF($AA8&gt;=10,1,IF($AA8&gt;=6,$AA8*$AA8/100,0)),4)</f>
        <v>1</v>
      </c>
      <c r="AE8" s="13">
        <f>ROUND(IF(AD8*V8&gt;=1000000,1000000,AD8*V8),0)</f>
        <v>1000000</v>
      </c>
      <c r="AF8" s="13">
        <v>0</v>
      </c>
      <c r="AG8" s="32" t="s">
        <v>27</v>
      </c>
      <c r="AH8" s="37">
        <v>0</v>
      </c>
      <c r="AI8" s="32" t="s">
        <v>27</v>
      </c>
      <c r="AJ8" s="13">
        <f>IF(AI8="Yes",25000,0)</f>
        <v>0</v>
      </c>
      <c r="AK8" s="13">
        <v>0</v>
      </c>
      <c r="AL8" s="616"/>
      <c r="AM8" s="37">
        <f t="shared" ref="AM8:AM22" si="6">SUM(AC8+AH8+AJ8+AE8+AK8)</f>
        <v>1000000</v>
      </c>
      <c r="AN8" s="13">
        <v>4000000</v>
      </c>
      <c r="AO8" s="29">
        <f t="shared" ref="AO8:AO22" si="7">Z8/R8</f>
        <v>0.14036455794911784</v>
      </c>
      <c r="AP8" s="34"/>
      <c r="AQ8" s="34" t="s">
        <v>1036</v>
      </c>
      <c r="AR8" s="19">
        <f t="shared" ref="AR8:AR22" si="8">IF(AP8&lt;&gt;0,$AP$5,IF(AQ8&lt;&gt;0,$AQ$5,0))</f>
        <v>10</v>
      </c>
      <c r="AS8" s="34"/>
      <c r="AT8" s="34"/>
      <c r="AU8" s="34" t="s">
        <v>1036</v>
      </c>
      <c r="AV8" s="34"/>
      <c r="AW8" s="34"/>
      <c r="AX8" s="19">
        <f t="shared" ref="AX8:AX22" si="9">IF(AS8&lt;&gt;0,$AS$5,IF(AT8&lt;&gt;0,$AT$5,IF(AU8&lt;&gt;0,$AU$5,IF(AV8&lt;&gt;0,$AV$5,IF(AW8&lt;&gt;0,$AW$5,0)))))</f>
        <v>15</v>
      </c>
      <c r="AY8" s="34" t="s">
        <v>1036</v>
      </c>
      <c r="AZ8" s="34" t="s">
        <v>1036</v>
      </c>
      <c r="BA8" s="617"/>
      <c r="BB8" s="617"/>
      <c r="BC8" s="617"/>
      <c r="BD8" s="617"/>
      <c r="BE8" s="19">
        <f t="shared" ref="BE8:BE22" si="10">IF(BA8&lt;&gt;0,$BA$5,IF(BB8&lt;&gt;0,$BB$5,IF(BC8&lt;&gt;0,$BC$5,IF(BD8&lt;&gt;0,$BD$5,0))))</f>
        <v>0</v>
      </c>
      <c r="BF8" s="617"/>
      <c r="BG8" s="617"/>
      <c r="BH8" s="617"/>
      <c r="BI8" s="19"/>
      <c r="BJ8" s="618">
        <f t="shared" ref="BJ8:BJ22" si="11">AO8*$AO$5*Y8</f>
        <v>0.75796861292523643</v>
      </c>
      <c r="BK8" s="619">
        <f t="shared" ref="BK8:BK22" si="12">(AR8*Y8)/100</f>
        <v>2.7</v>
      </c>
      <c r="BL8" s="620">
        <f t="shared" ref="BL8:BL22" si="13">(AX8*Y8)/100</f>
        <v>4.05</v>
      </c>
      <c r="BM8" s="19">
        <f t="shared" ref="BM8:BM22" si="14">IF(AY8&lt;&gt;0,($AY$5*Y8)/100,0)</f>
        <v>4.05</v>
      </c>
      <c r="BN8" s="621">
        <f t="shared" ref="BN8:BN22" si="15">IF(AZ8&lt;&gt;0,($AZ$5*Y8)/100,0)</f>
        <v>5.4</v>
      </c>
      <c r="BO8" s="622">
        <f t="shared" ref="BO8:BO22" si="16">((O8*$BO$5)*Y8)/100</f>
        <v>8.64</v>
      </c>
      <c r="BP8" s="623">
        <f t="shared" ref="BP8:BP22" si="17">IF(Q8="Yes",$BP$5, 0)</f>
        <v>5</v>
      </c>
      <c r="BQ8" s="620">
        <f t="shared" ref="BQ8:BQ22" si="18">(BE8*Y8)/100</f>
        <v>0</v>
      </c>
      <c r="BR8" s="620">
        <v>4.07</v>
      </c>
      <c r="BS8" s="13">
        <f t="shared" ref="BS8:BS22" si="19">AM8+AN8</f>
        <v>5000000</v>
      </c>
      <c r="BT8" s="618">
        <f>SUM(BJ8:BR8)+Y8</f>
        <v>61.667968612925236</v>
      </c>
      <c r="BU8" s="33"/>
      <c r="BV8" s="669" t="s">
        <v>1063</v>
      </c>
      <c r="BW8" s="107" t="s">
        <v>1073</v>
      </c>
    </row>
    <row r="9" spans="1:75" s="20" customFormat="1" ht="62.5" x14ac:dyDescent="0.25">
      <c r="A9" s="112">
        <v>3</v>
      </c>
      <c r="B9" s="21">
        <f t="shared" si="0"/>
        <v>52.25</v>
      </c>
      <c r="C9" s="12" t="s">
        <v>936</v>
      </c>
      <c r="D9" s="12" t="s">
        <v>1064</v>
      </c>
      <c r="E9" s="12" t="s">
        <v>937</v>
      </c>
      <c r="F9" s="12" t="s">
        <v>1189</v>
      </c>
      <c r="G9" s="12"/>
      <c r="H9" s="12"/>
      <c r="I9" s="12" t="s">
        <v>1240</v>
      </c>
      <c r="J9" s="161" t="s">
        <v>1231</v>
      </c>
      <c r="K9" s="13">
        <f>'Calculator Impact  2025'!O19</f>
        <v>750</v>
      </c>
      <c r="L9" s="13">
        <f>'Calculator Impact  2025'!E19</f>
        <v>60838</v>
      </c>
      <c r="M9" s="14">
        <f>'Calculator Impact  2025'!P19</f>
        <v>1.23E-2</v>
      </c>
      <c r="N9" s="200">
        <v>46082</v>
      </c>
      <c r="O9" s="33">
        <v>0</v>
      </c>
      <c r="P9" s="61" t="s">
        <v>26</v>
      </c>
      <c r="Q9" s="61" t="s">
        <v>26</v>
      </c>
      <c r="R9" s="15">
        <v>9279225</v>
      </c>
      <c r="S9" s="31">
        <v>1673000</v>
      </c>
      <c r="T9" s="17">
        <f t="shared" si="1"/>
        <v>7606225</v>
      </c>
      <c r="U9" s="16">
        <v>0</v>
      </c>
      <c r="V9" s="17">
        <f t="shared" si="2"/>
        <v>7606225</v>
      </c>
      <c r="W9" s="32" t="s">
        <v>26</v>
      </c>
      <c r="X9" s="33" t="s">
        <v>1039</v>
      </c>
      <c r="Y9" s="18">
        <f t="shared" si="3"/>
        <v>27</v>
      </c>
      <c r="Z9" s="37">
        <v>9279225</v>
      </c>
      <c r="AA9" s="21">
        <f>'Calculator Impact  2025'!$Q$19</f>
        <v>5.34</v>
      </c>
      <c r="AB9" s="14">
        <f t="shared" si="4"/>
        <v>0</v>
      </c>
      <c r="AC9" s="13">
        <f>ROUND(IF(AB9*T9&gt;=1000000,1000000,AB9*T9),0)</f>
        <v>0</v>
      </c>
      <c r="AD9" s="14">
        <f t="shared" si="5"/>
        <v>0</v>
      </c>
      <c r="AE9" s="13">
        <f>ROUND(IF(AD9*V9&gt;=1000000,1000000,AD9*V9),0)</f>
        <v>0</v>
      </c>
      <c r="AF9" s="13">
        <v>0</v>
      </c>
      <c r="AG9" s="32" t="s">
        <v>27</v>
      </c>
      <c r="AH9" s="13">
        <v>0</v>
      </c>
      <c r="AI9" s="32" t="s">
        <v>27</v>
      </c>
      <c r="AJ9" s="13">
        <f>IF(AI9="Yes",25000,0)</f>
        <v>0</v>
      </c>
      <c r="AK9" s="13">
        <v>1000000</v>
      </c>
      <c r="AL9" s="616"/>
      <c r="AM9" s="37">
        <f t="shared" si="6"/>
        <v>1000000</v>
      </c>
      <c r="AN9" s="13">
        <v>0</v>
      </c>
      <c r="AO9" s="29">
        <f t="shared" si="7"/>
        <v>1</v>
      </c>
      <c r="AP9" s="19"/>
      <c r="AQ9" s="34" t="s">
        <v>1036</v>
      </c>
      <c r="AR9" s="19">
        <f t="shared" si="8"/>
        <v>10</v>
      </c>
      <c r="AS9" s="34"/>
      <c r="AT9" s="34" t="s">
        <v>1036</v>
      </c>
      <c r="AU9" s="19"/>
      <c r="AV9" s="34"/>
      <c r="AW9" s="34"/>
      <c r="AX9" s="19">
        <f t="shared" si="9"/>
        <v>10</v>
      </c>
      <c r="AY9" s="34"/>
      <c r="AZ9" s="34" t="s">
        <v>1036</v>
      </c>
      <c r="BA9" s="617"/>
      <c r="BB9" s="617"/>
      <c r="BC9" s="617" t="s">
        <v>1036</v>
      </c>
      <c r="BD9" s="617"/>
      <c r="BE9" s="19">
        <f t="shared" si="10"/>
        <v>15</v>
      </c>
      <c r="BF9" s="624"/>
      <c r="BG9" s="624"/>
      <c r="BH9" s="624"/>
      <c r="BI9" s="624"/>
      <c r="BJ9" s="618">
        <f t="shared" si="11"/>
        <v>5.4</v>
      </c>
      <c r="BK9" s="619">
        <f t="shared" si="12"/>
        <v>2.7</v>
      </c>
      <c r="BL9" s="620">
        <f t="shared" si="13"/>
        <v>2.7</v>
      </c>
      <c r="BM9" s="19">
        <f t="shared" si="14"/>
        <v>0</v>
      </c>
      <c r="BN9" s="621">
        <f t="shared" si="15"/>
        <v>5.4</v>
      </c>
      <c r="BO9" s="622">
        <f t="shared" si="16"/>
        <v>0</v>
      </c>
      <c r="BP9" s="623">
        <f t="shared" si="17"/>
        <v>5</v>
      </c>
      <c r="BQ9" s="620">
        <f t="shared" si="18"/>
        <v>4.05</v>
      </c>
      <c r="BR9" s="620"/>
      <c r="BS9" s="13">
        <f t="shared" si="19"/>
        <v>1000000</v>
      </c>
      <c r="BT9" s="618">
        <f t="shared" ref="BT9:BT22" si="20">SUM(BJ9:BQ9)+Y9</f>
        <v>52.25</v>
      </c>
      <c r="BU9" s="33"/>
      <c r="BV9" s="669" t="s">
        <v>1065</v>
      </c>
      <c r="BW9" s="107" t="s">
        <v>1073</v>
      </c>
    </row>
    <row r="10" spans="1:75" s="20" customFormat="1" ht="93" x14ac:dyDescent="0.25">
      <c r="A10" s="112">
        <v>15</v>
      </c>
      <c r="B10" s="21">
        <f t="shared" si="0"/>
        <v>43.063314500941615</v>
      </c>
      <c r="C10" s="12" t="s">
        <v>953</v>
      </c>
      <c r="D10" s="12" t="s">
        <v>1139</v>
      </c>
      <c r="E10" s="12" t="s">
        <v>927</v>
      </c>
      <c r="F10" s="12" t="s">
        <v>1274</v>
      </c>
      <c r="G10" s="12"/>
      <c r="H10" s="12"/>
      <c r="I10" s="12" t="s">
        <v>1241</v>
      </c>
      <c r="J10" s="161" t="s">
        <v>1226</v>
      </c>
      <c r="K10" s="13">
        <f>'Calculator Impact  2025'!O50</f>
        <v>1055</v>
      </c>
      <c r="L10" s="13">
        <f>'Calculator Impact  2025'!E50</f>
        <v>35313</v>
      </c>
      <c r="M10" s="14">
        <f>'Calculator Impact  2025'!P50</f>
        <v>2.9899999999999999E-2</v>
      </c>
      <c r="N10" s="200">
        <v>45474</v>
      </c>
      <c r="O10" s="33">
        <v>16</v>
      </c>
      <c r="P10" s="61" t="s">
        <v>26</v>
      </c>
      <c r="Q10" s="61" t="s">
        <v>26</v>
      </c>
      <c r="R10" s="15">
        <v>10620000</v>
      </c>
      <c r="S10" s="31">
        <v>7275000</v>
      </c>
      <c r="T10" s="17">
        <f t="shared" si="1"/>
        <v>3345000</v>
      </c>
      <c r="U10" s="16">
        <v>5000</v>
      </c>
      <c r="V10" s="17">
        <f t="shared" si="2"/>
        <v>3350000</v>
      </c>
      <c r="W10" s="32" t="s">
        <v>26</v>
      </c>
      <c r="X10" s="33" t="s">
        <v>1044</v>
      </c>
      <c r="Y10" s="18">
        <f t="shared" si="3"/>
        <v>22</v>
      </c>
      <c r="Z10" s="37">
        <v>539000</v>
      </c>
      <c r="AA10" s="21">
        <f>'Calculator Impact  2025'!$Q$50</f>
        <v>8.6999999999999993</v>
      </c>
      <c r="AB10" s="14">
        <f t="shared" si="4"/>
        <v>0.75690000000000002</v>
      </c>
      <c r="AC10" s="13">
        <v>0</v>
      </c>
      <c r="AD10" s="14">
        <f t="shared" si="5"/>
        <v>0.75690000000000002</v>
      </c>
      <c r="AE10" s="13">
        <v>407820</v>
      </c>
      <c r="AF10" s="13">
        <v>0</v>
      </c>
      <c r="AG10" s="32" t="s">
        <v>26</v>
      </c>
      <c r="AH10" s="13">
        <v>5000</v>
      </c>
      <c r="AI10" s="32" t="s">
        <v>27</v>
      </c>
      <c r="AJ10" s="13">
        <f>IF(AI10="Yes",25000,0)</f>
        <v>0</v>
      </c>
      <c r="AK10" s="13">
        <v>544840</v>
      </c>
      <c r="AL10" s="616"/>
      <c r="AM10" s="37">
        <f t="shared" si="6"/>
        <v>957660</v>
      </c>
      <c r="AN10" s="13">
        <v>0</v>
      </c>
      <c r="AO10" s="29">
        <f t="shared" si="7"/>
        <v>5.0753295668549907E-2</v>
      </c>
      <c r="AP10" s="19"/>
      <c r="AQ10" s="34" t="s">
        <v>1036</v>
      </c>
      <c r="AR10" s="19">
        <f t="shared" si="8"/>
        <v>10</v>
      </c>
      <c r="AS10" s="34"/>
      <c r="AT10" s="34" t="s">
        <v>1036</v>
      </c>
      <c r="AU10" s="34"/>
      <c r="AV10" s="34"/>
      <c r="AW10" s="34"/>
      <c r="AX10" s="19">
        <f t="shared" si="9"/>
        <v>10</v>
      </c>
      <c r="AY10" s="34"/>
      <c r="AZ10" s="34" t="s">
        <v>1036</v>
      </c>
      <c r="BA10" s="617"/>
      <c r="BB10" s="617"/>
      <c r="BC10" s="617"/>
      <c r="BD10" s="617"/>
      <c r="BE10" s="19">
        <f t="shared" si="10"/>
        <v>0</v>
      </c>
      <c r="BF10" s="624"/>
      <c r="BG10" s="624"/>
      <c r="BH10" s="624"/>
      <c r="BI10" s="624"/>
      <c r="BJ10" s="618">
        <f t="shared" si="11"/>
        <v>0.22331450094161959</v>
      </c>
      <c r="BK10" s="619">
        <f t="shared" si="12"/>
        <v>2.2000000000000002</v>
      </c>
      <c r="BL10" s="620">
        <f t="shared" si="13"/>
        <v>2.2000000000000002</v>
      </c>
      <c r="BM10" s="19">
        <f t="shared" si="14"/>
        <v>0</v>
      </c>
      <c r="BN10" s="621">
        <f t="shared" si="15"/>
        <v>4.4000000000000004</v>
      </c>
      <c r="BO10" s="622">
        <f t="shared" si="16"/>
        <v>7.04</v>
      </c>
      <c r="BP10" s="623">
        <f t="shared" si="17"/>
        <v>5</v>
      </c>
      <c r="BQ10" s="620">
        <f t="shared" si="18"/>
        <v>0</v>
      </c>
      <c r="BR10" s="620"/>
      <c r="BS10" s="13">
        <f t="shared" si="19"/>
        <v>957660</v>
      </c>
      <c r="BT10" s="618">
        <f t="shared" si="20"/>
        <v>43.063314500941615</v>
      </c>
      <c r="BU10" s="33"/>
      <c r="BV10" s="669" t="s">
        <v>1080</v>
      </c>
      <c r="BW10" s="107" t="s">
        <v>1073</v>
      </c>
    </row>
    <row r="11" spans="1:75" s="20" customFormat="1" ht="62" x14ac:dyDescent="0.25">
      <c r="A11" s="11">
        <v>21</v>
      </c>
      <c r="B11" s="21">
        <f t="shared" si="0"/>
        <v>49.44</v>
      </c>
      <c r="C11" s="12" t="s">
        <v>958</v>
      </c>
      <c r="D11" s="12" t="s">
        <v>1083</v>
      </c>
      <c r="E11" s="12" t="s">
        <v>929</v>
      </c>
      <c r="F11" s="12" t="s">
        <v>1187</v>
      </c>
      <c r="G11" s="12"/>
      <c r="H11" s="12"/>
      <c r="I11" s="12" t="s">
        <v>1242</v>
      </c>
      <c r="J11" s="161" t="s">
        <v>1232</v>
      </c>
      <c r="K11" s="13">
        <f>'Calculator Impact  2025'!O73</f>
        <v>1602</v>
      </c>
      <c r="L11" s="13">
        <f>'Calculator Impact  2025'!E73</f>
        <v>31406</v>
      </c>
      <c r="M11" s="14">
        <f>'Calculator Impact  2025'!P73</f>
        <v>5.0999999999999997E-2</v>
      </c>
      <c r="N11" s="200">
        <v>45474</v>
      </c>
      <c r="O11" s="617">
        <v>16</v>
      </c>
      <c r="P11" s="61" t="s">
        <v>26</v>
      </c>
      <c r="Q11" s="61" t="s">
        <v>26</v>
      </c>
      <c r="R11" s="625">
        <v>1203000</v>
      </c>
      <c r="S11" s="31">
        <v>198000</v>
      </c>
      <c r="T11" s="17">
        <f t="shared" si="1"/>
        <v>1005000</v>
      </c>
      <c r="U11" s="16">
        <v>0</v>
      </c>
      <c r="V11" s="17">
        <f t="shared" si="2"/>
        <v>1005000</v>
      </c>
      <c r="W11" s="32" t="s">
        <v>26</v>
      </c>
      <c r="X11" s="33" t="s">
        <v>1044</v>
      </c>
      <c r="Y11" s="18">
        <f t="shared" si="3"/>
        <v>22</v>
      </c>
      <c r="Z11" s="37">
        <v>1203000</v>
      </c>
      <c r="AA11" s="21">
        <f>'Calculator Impact  2025'!$Q$73</f>
        <v>10.33</v>
      </c>
      <c r="AB11" s="14">
        <f t="shared" si="4"/>
        <v>1</v>
      </c>
      <c r="AC11" s="13">
        <v>0</v>
      </c>
      <c r="AD11" s="14">
        <f t="shared" si="5"/>
        <v>1</v>
      </c>
      <c r="AE11" s="13">
        <f>ROUND(IF(AD11*V11&gt;=1000000,1000000,AD11*V11),0)</f>
        <v>1000000</v>
      </c>
      <c r="AF11" s="13">
        <v>0</v>
      </c>
      <c r="AG11" s="32" t="s">
        <v>27</v>
      </c>
      <c r="AH11" s="13">
        <v>0</v>
      </c>
      <c r="AI11" s="32" t="s">
        <v>27</v>
      </c>
      <c r="AJ11" s="13">
        <f>IF(AI11="Yes",25000,0)</f>
        <v>0</v>
      </c>
      <c r="AK11" s="13">
        <v>0</v>
      </c>
      <c r="AL11" s="616"/>
      <c r="AM11" s="37">
        <f t="shared" si="6"/>
        <v>1000000</v>
      </c>
      <c r="AN11" s="13">
        <v>0</v>
      </c>
      <c r="AO11" s="29">
        <f t="shared" si="7"/>
        <v>1</v>
      </c>
      <c r="AP11" s="19"/>
      <c r="AQ11" s="34" t="s">
        <v>1036</v>
      </c>
      <c r="AR11" s="19">
        <f t="shared" si="8"/>
        <v>10</v>
      </c>
      <c r="AS11" s="34"/>
      <c r="AT11" s="34" t="s">
        <v>1036</v>
      </c>
      <c r="AU11" s="19"/>
      <c r="AV11" s="19"/>
      <c r="AW11" s="34"/>
      <c r="AX11" s="19">
        <f t="shared" si="9"/>
        <v>10</v>
      </c>
      <c r="AY11" s="34"/>
      <c r="AZ11" s="34" t="s">
        <v>1036</v>
      </c>
      <c r="BA11" s="617"/>
      <c r="BB11" s="617" t="s">
        <v>1036</v>
      </c>
      <c r="BC11" s="617"/>
      <c r="BD11" s="617"/>
      <c r="BE11" s="19">
        <f t="shared" si="10"/>
        <v>10</v>
      </c>
      <c r="BF11" s="624"/>
      <c r="BG11" s="624"/>
      <c r="BH11" s="624"/>
      <c r="BI11" s="624"/>
      <c r="BJ11" s="618">
        <f t="shared" si="11"/>
        <v>4.4000000000000004</v>
      </c>
      <c r="BK11" s="619">
        <f t="shared" si="12"/>
        <v>2.2000000000000002</v>
      </c>
      <c r="BL11" s="620">
        <f t="shared" si="13"/>
        <v>2.2000000000000002</v>
      </c>
      <c r="BM11" s="19">
        <f t="shared" si="14"/>
        <v>0</v>
      </c>
      <c r="BN11" s="621">
        <f t="shared" si="15"/>
        <v>4.4000000000000004</v>
      </c>
      <c r="BO11" s="622">
        <f t="shared" si="16"/>
        <v>7.04</v>
      </c>
      <c r="BP11" s="623">
        <f t="shared" si="17"/>
        <v>5</v>
      </c>
      <c r="BQ11" s="620">
        <f t="shared" si="18"/>
        <v>2.2000000000000002</v>
      </c>
      <c r="BR11" s="620"/>
      <c r="BS11" s="13">
        <f t="shared" si="19"/>
        <v>1000000</v>
      </c>
      <c r="BT11" s="618">
        <f t="shared" si="20"/>
        <v>49.44</v>
      </c>
      <c r="BU11" s="33"/>
      <c r="BV11" s="669" t="s">
        <v>1081</v>
      </c>
    </row>
    <row r="12" spans="1:75" s="20" customFormat="1" ht="62.5" x14ac:dyDescent="0.25">
      <c r="A12" s="11">
        <v>24</v>
      </c>
      <c r="B12" s="21">
        <f t="shared" si="0"/>
        <v>58.190000000000005</v>
      </c>
      <c r="C12" s="12" t="s">
        <v>1251</v>
      </c>
      <c r="D12" s="12" t="s">
        <v>1118</v>
      </c>
      <c r="E12" s="12" t="s">
        <v>928</v>
      </c>
      <c r="F12" s="12" t="s">
        <v>964</v>
      </c>
      <c r="G12" s="626"/>
      <c r="H12" s="626"/>
      <c r="I12" s="626" t="s">
        <v>1243</v>
      </c>
      <c r="J12" s="161" t="s">
        <v>1237</v>
      </c>
      <c r="K12" s="13">
        <f>'Calculator Impact  2025'!O84</f>
        <v>515</v>
      </c>
      <c r="L12" s="13">
        <f>'Calculator Impact  2025'!E84</f>
        <v>54317</v>
      </c>
      <c r="M12" s="14">
        <f>'Calculator Impact  2025'!P84</f>
        <v>9.4999999999999998E-3</v>
      </c>
      <c r="N12" s="200">
        <v>45444</v>
      </c>
      <c r="O12" s="617">
        <v>16</v>
      </c>
      <c r="P12" s="61" t="s">
        <v>26</v>
      </c>
      <c r="Q12" s="61" t="s">
        <v>26</v>
      </c>
      <c r="R12" s="625">
        <v>31652515</v>
      </c>
      <c r="S12" s="31">
        <v>13500000</v>
      </c>
      <c r="T12" s="17">
        <f t="shared" si="1"/>
        <v>18152515</v>
      </c>
      <c r="U12" s="16">
        <v>0</v>
      </c>
      <c r="V12" s="17">
        <f t="shared" si="2"/>
        <v>10000000</v>
      </c>
      <c r="W12" s="32" t="s">
        <v>26</v>
      </c>
      <c r="X12" s="33" t="s">
        <v>1039</v>
      </c>
      <c r="Y12" s="18">
        <f t="shared" si="3"/>
        <v>27</v>
      </c>
      <c r="Z12" s="37">
        <v>0</v>
      </c>
      <c r="AA12" s="21">
        <f>'Calculator Impact  2025'!$Q$85</f>
        <v>5.69</v>
      </c>
      <c r="AB12" s="14">
        <f t="shared" si="4"/>
        <v>0</v>
      </c>
      <c r="AC12" s="13">
        <f>ROUND(IF(AB12*T12&gt;=1000000,1000000,AB12*T12),0)</f>
        <v>0</v>
      </c>
      <c r="AD12" s="14">
        <f t="shared" si="5"/>
        <v>0</v>
      </c>
      <c r="AE12" s="13">
        <f>ROUND(IF(AD12*V12&gt;=1000000,1000000,AD12*V12),0)</f>
        <v>0</v>
      </c>
      <c r="AF12" s="13">
        <v>0</v>
      </c>
      <c r="AG12" s="32" t="s">
        <v>27</v>
      </c>
      <c r="AH12" s="13">
        <v>0</v>
      </c>
      <c r="AI12" s="32" t="s">
        <v>26</v>
      </c>
      <c r="AJ12" s="13">
        <v>20000</v>
      </c>
      <c r="AK12" s="13">
        <v>0</v>
      </c>
      <c r="AL12" s="616"/>
      <c r="AM12" s="37">
        <f t="shared" si="6"/>
        <v>20000</v>
      </c>
      <c r="AN12" s="13">
        <f t="shared" ref="AN12:AN17" si="21">+V12-(AC12+AE12+AH12+AJ12+AK12)</f>
        <v>9980000</v>
      </c>
      <c r="AO12" s="29">
        <f t="shared" si="7"/>
        <v>0</v>
      </c>
      <c r="AP12" s="19"/>
      <c r="AQ12" s="34" t="s">
        <v>1036</v>
      </c>
      <c r="AR12" s="19">
        <f t="shared" si="8"/>
        <v>10</v>
      </c>
      <c r="AS12" s="34"/>
      <c r="AT12" s="34"/>
      <c r="AU12" s="19"/>
      <c r="AV12" s="34" t="s">
        <v>1036</v>
      </c>
      <c r="AW12" s="34"/>
      <c r="AX12" s="19">
        <f t="shared" si="9"/>
        <v>20</v>
      </c>
      <c r="AY12" s="34" t="s">
        <v>1036</v>
      </c>
      <c r="AZ12" s="34" t="s">
        <v>1036</v>
      </c>
      <c r="BA12" s="617"/>
      <c r="BB12" s="617"/>
      <c r="BC12" s="617"/>
      <c r="BD12" s="617"/>
      <c r="BE12" s="19">
        <f t="shared" si="10"/>
        <v>0</v>
      </c>
      <c r="BF12" s="624"/>
      <c r="BG12" s="624"/>
      <c r="BH12" s="624"/>
      <c r="BI12" s="624"/>
      <c r="BJ12" s="618">
        <f t="shared" si="11"/>
        <v>0</v>
      </c>
      <c r="BK12" s="619">
        <f t="shared" si="12"/>
        <v>2.7</v>
      </c>
      <c r="BL12" s="620">
        <f t="shared" si="13"/>
        <v>5.4</v>
      </c>
      <c r="BM12" s="19">
        <f t="shared" si="14"/>
        <v>4.05</v>
      </c>
      <c r="BN12" s="621">
        <f t="shared" si="15"/>
        <v>5.4</v>
      </c>
      <c r="BO12" s="622">
        <f t="shared" si="16"/>
        <v>8.64</v>
      </c>
      <c r="BP12" s="623">
        <f t="shared" si="17"/>
        <v>5</v>
      </c>
      <c r="BQ12" s="620">
        <f t="shared" si="18"/>
        <v>0</v>
      </c>
      <c r="BR12" s="620"/>
      <c r="BS12" s="13">
        <f t="shared" si="19"/>
        <v>10000000</v>
      </c>
      <c r="BT12" s="618">
        <f t="shared" si="20"/>
        <v>58.190000000000005</v>
      </c>
      <c r="BU12" s="33"/>
      <c r="BV12" s="669" t="s">
        <v>1314</v>
      </c>
      <c r="BW12" s="107" t="s">
        <v>1073</v>
      </c>
    </row>
    <row r="13" spans="1:75" s="20" customFormat="1" ht="98.25" customHeight="1" x14ac:dyDescent="0.25">
      <c r="A13" s="112">
        <v>26</v>
      </c>
      <c r="B13" s="21">
        <f t="shared" si="0"/>
        <v>56.570000000000007</v>
      </c>
      <c r="C13" s="12" t="s">
        <v>966</v>
      </c>
      <c r="D13" s="12" t="s">
        <v>1120</v>
      </c>
      <c r="E13" s="12" t="s">
        <v>927</v>
      </c>
      <c r="F13" s="12" t="s">
        <v>1182</v>
      </c>
      <c r="G13" s="12"/>
      <c r="H13" s="12"/>
      <c r="I13" s="12" t="s">
        <v>1244</v>
      </c>
      <c r="J13" s="161" t="s">
        <v>1225</v>
      </c>
      <c r="K13" s="13">
        <f>'Calculator Impact  2025'!O88</f>
        <v>2264</v>
      </c>
      <c r="L13" s="13">
        <f>'Calculator Impact  2025'!E88</f>
        <v>47557</v>
      </c>
      <c r="M13" s="14">
        <f>'Calculator Impact  2025'!P89</f>
        <v>1.17E-2</v>
      </c>
      <c r="N13" s="200">
        <v>45566</v>
      </c>
      <c r="O13" s="33">
        <v>13</v>
      </c>
      <c r="P13" s="61" t="s">
        <v>26</v>
      </c>
      <c r="Q13" s="61" t="s">
        <v>26</v>
      </c>
      <c r="R13" s="15">
        <v>590000</v>
      </c>
      <c r="S13" s="31">
        <v>126000</v>
      </c>
      <c r="T13" s="17">
        <f t="shared" si="1"/>
        <v>464000</v>
      </c>
      <c r="U13" s="16">
        <v>0</v>
      </c>
      <c r="V13" s="17">
        <f t="shared" si="2"/>
        <v>464000</v>
      </c>
      <c r="W13" s="32" t="s">
        <v>26</v>
      </c>
      <c r="X13" s="33" t="s">
        <v>1039</v>
      </c>
      <c r="Y13" s="18">
        <f t="shared" si="3"/>
        <v>27</v>
      </c>
      <c r="Z13" s="37">
        <v>0</v>
      </c>
      <c r="AA13" s="21">
        <f>'Calculator Impact  2025'!$Q$88</f>
        <v>9.17</v>
      </c>
      <c r="AB13" s="14">
        <f t="shared" si="4"/>
        <v>0.84089999999999998</v>
      </c>
      <c r="AC13" s="13">
        <f>ROUND(IF(AB13*T13&gt;=1000000,1000000,AB13*T13),0)</f>
        <v>390178</v>
      </c>
      <c r="AD13" s="14">
        <f t="shared" si="5"/>
        <v>0.84089999999999998</v>
      </c>
      <c r="AE13" s="13">
        <v>73822</v>
      </c>
      <c r="AF13" s="13">
        <v>0</v>
      </c>
      <c r="AG13" s="32" t="s">
        <v>27</v>
      </c>
      <c r="AH13" s="13">
        <v>0</v>
      </c>
      <c r="AI13" s="32" t="s">
        <v>27</v>
      </c>
      <c r="AJ13" s="13">
        <f t="shared" ref="AJ13:AJ22" si="22">IF(AI13="Yes",25000,0)</f>
        <v>0</v>
      </c>
      <c r="AK13" s="13">
        <f>Z13+AJ13</f>
        <v>0</v>
      </c>
      <c r="AL13" s="616"/>
      <c r="AM13" s="37">
        <f t="shared" si="6"/>
        <v>464000</v>
      </c>
      <c r="AN13" s="13">
        <f t="shared" si="21"/>
        <v>0</v>
      </c>
      <c r="AO13" s="29">
        <f t="shared" si="7"/>
        <v>0</v>
      </c>
      <c r="AP13" s="34"/>
      <c r="AQ13" s="34" t="s">
        <v>1036</v>
      </c>
      <c r="AR13" s="19">
        <f t="shared" si="8"/>
        <v>10</v>
      </c>
      <c r="AS13" s="34"/>
      <c r="AT13" s="34"/>
      <c r="AU13" s="19"/>
      <c r="AV13" s="34" t="s">
        <v>1036</v>
      </c>
      <c r="AW13" s="34"/>
      <c r="AX13" s="19">
        <f t="shared" si="9"/>
        <v>20</v>
      </c>
      <c r="AY13" s="34"/>
      <c r="AZ13" s="34" t="s">
        <v>1036</v>
      </c>
      <c r="BA13" s="617"/>
      <c r="BB13" s="617"/>
      <c r="BC13" s="617" t="s">
        <v>1036</v>
      </c>
      <c r="BD13" s="617"/>
      <c r="BE13" s="19">
        <f t="shared" si="10"/>
        <v>15</v>
      </c>
      <c r="BF13" s="624"/>
      <c r="BG13" s="624"/>
      <c r="BH13" s="624"/>
      <c r="BI13" s="624"/>
      <c r="BJ13" s="618">
        <f t="shared" si="11"/>
        <v>0</v>
      </c>
      <c r="BK13" s="619">
        <f t="shared" si="12"/>
        <v>2.7</v>
      </c>
      <c r="BL13" s="620">
        <f t="shared" si="13"/>
        <v>5.4</v>
      </c>
      <c r="BM13" s="19">
        <f t="shared" si="14"/>
        <v>0</v>
      </c>
      <c r="BN13" s="621">
        <f t="shared" si="15"/>
        <v>5.4</v>
      </c>
      <c r="BO13" s="622">
        <f t="shared" si="16"/>
        <v>7.02</v>
      </c>
      <c r="BP13" s="623">
        <f t="shared" si="17"/>
        <v>5</v>
      </c>
      <c r="BQ13" s="620">
        <f t="shared" si="18"/>
        <v>4.05</v>
      </c>
      <c r="BR13" s="620"/>
      <c r="BS13" s="13">
        <f t="shared" si="19"/>
        <v>464000</v>
      </c>
      <c r="BT13" s="618">
        <f t="shared" si="20"/>
        <v>56.570000000000007</v>
      </c>
      <c r="BU13" s="33"/>
      <c r="BV13" s="107" t="s">
        <v>1084</v>
      </c>
    </row>
    <row r="14" spans="1:75" s="20" customFormat="1" ht="93" x14ac:dyDescent="0.25">
      <c r="A14" s="11">
        <v>32</v>
      </c>
      <c r="B14" s="21">
        <f t="shared" si="0"/>
        <v>49.085245901639347</v>
      </c>
      <c r="C14" s="12" t="s">
        <v>972</v>
      </c>
      <c r="D14" s="12" t="s">
        <v>1085</v>
      </c>
      <c r="E14" s="12" t="s">
        <v>928</v>
      </c>
      <c r="F14" s="12" t="s">
        <v>1261</v>
      </c>
      <c r="G14" s="12"/>
      <c r="H14" s="12"/>
      <c r="I14" s="12" t="s">
        <v>1262</v>
      </c>
      <c r="J14" s="161" t="s">
        <v>1233</v>
      </c>
      <c r="K14" s="13">
        <f>'Calculator Impact  2025'!O100</f>
        <v>764</v>
      </c>
      <c r="L14" s="13">
        <f>'Calculator Impact  2025'!E100</f>
        <v>53500</v>
      </c>
      <c r="M14" s="14">
        <f>'Calculator Impact  2025'!P100</f>
        <v>1.43E-2</v>
      </c>
      <c r="N14" s="200">
        <v>45809</v>
      </c>
      <c r="O14" s="33">
        <v>5</v>
      </c>
      <c r="P14" s="61" t="s">
        <v>26</v>
      </c>
      <c r="Q14" s="61" t="s">
        <v>26</v>
      </c>
      <c r="R14" s="15">
        <v>4880000</v>
      </c>
      <c r="S14" s="16">
        <v>2000000</v>
      </c>
      <c r="T14" s="17">
        <f t="shared" si="1"/>
        <v>2880000</v>
      </c>
      <c r="U14" s="16">
        <v>0</v>
      </c>
      <c r="V14" s="17">
        <f t="shared" si="2"/>
        <v>2880000</v>
      </c>
      <c r="W14" s="32" t="s">
        <v>26</v>
      </c>
      <c r="X14" s="33" t="s">
        <v>1039</v>
      </c>
      <c r="Y14" s="18">
        <f t="shared" si="3"/>
        <v>27</v>
      </c>
      <c r="Z14" s="37">
        <v>800000</v>
      </c>
      <c r="AA14" s="21">
        <f>'Calculator Impact  2025'!$Q$100</f>
        <v>6.54</v>
      </c>
      <c r="AB14" s="14">
        <f t="shared" si="4"/>
        <v>0</v>
      </c>
      <c r="AC14" s="13">
        <f>ROUND(IF(AB14*T14&gt;=1000000,1000000,AB14*T14),0)</f>
        <v>0</v>
      </c>
      <c r="AD14" s="14">
        <f t="shared" si="5"/>
        <v>0.42770000000000002</v>
      </c>
      <c r="AE14" s="13">
        <f>ROUND(IF(AD14*V14&gt;=1000000,1000000,AD14*V14),0)</f>
        <v>1000000</v>
      </c>
      <c r="AF14" s="13">
        <v>0</v>
      </c>
      <c r="AG14" s="32" t="s">
        <v>27</v>
      </c>
      <c r="AH14" s="13">
        <v>0</v>
      </c>
      <c r="AI14" s="32" t="s">
        <v>27</v>
      </c>
      <c r="AJ14" s="13">
        <f t="shared" si="22"/>
        <v>0</v>
      </c>
      <c r="AK14" s="13">
        <v>0</v>
      </c>
      <c r="AL14" s="616"/>
      <c r="AM14" s="37">
        <f t="shared" si="6"/>
        <v>1000000</v>
      </c>
      <c r="AN14" s="13">
        <f t="shared" si="21"/>
        <v>1880000</v>
      </c>
      <c r="AO14" s="29">
        <f t="shared" si="7"/>
        <v>0.16393442622950818</v>
      </c>
      <c r="AP14" s="34"/>
      <c r="AQ14" s="34" t="s">
        <v>1036</v>
      </c>
      <c r="AR14" s="19">
        <f t="shared" si="8"/>
        <v>10</v>
      </c>
      <c r="AS14" s="34"/>
      <c r="AT14" s="34"/>
      <c r="AU14" s="19"/>
      <c r="AV14" s="34" t="s">
        <v>1036</v>
      </c>
      <c r="AW14" s="34"/>
      <c r="AX14" s="19">
        <f t="shared" si="9"/>
        <v>20</v>
      </c>
      <c r="AY14" s="34"/>
      <c r="AZ14" s="34" t="s">
        <v>1036</v>
      </c>
      <c r="BA14" s="617"/>
      <c r="BB14" s="617"/>
      <c r="BC14" s="617"/>
      <c r="BD14" s="617"/>
      <c r="BE14" s="19">
        <f t="shared" si="10"/>
        <v>0</v>
      </c>
      <c r="BF14" s="624"/>
      <c r="BG14" s="624"/>
      <c r="BH14" s="624"/>
      <c r="BI14" s="624"/>
      <c r="BJ14" s="618">
        <f t="shared" si="11"/>
        <v>0.88524590163934436</v>
      </c>
      <c r="BK14" s="619">
        <f t="shared" si="12"/>
        <v>2.7</v>
      </c>
      <c r="BL14" s="620">
        <f t="shared" si="13"/>
        <v>5.4</v>
      </c>
      <c r="BM14" s="19">
        <f t="shared" si="14"/>
        <v>0</v>
      </c>
      <c r="BN14" s="621">
        <f t="shared" si="15"/>
        <v>5.4</v>
      </c>
      <c r="BO14" s="622">
        <f t="shared" si="16"/>
        <v>2.7</v>
      </c>
      <c r="BP14" s="623">
        <f t="shared" si="17"/>
        <v>5</v>
      </c>
      <c r="BQ14" s="620">
        <f t="shared" si="18"/>
        <v>0</v>
      </c>
      <c r="BR14" s="620"/>
      <c r="BS14" s="13">
        <f t="shared" si="19"/>
        <v>2880000</v>
      </c>
      <c r="BT14" s="618">
        <f t="shared" si="20"/>
        <v>49.085245901639347</v>
      </c>
      <c r="BU14" s="33"/>
      <c r="BV14" s="107" t="s">
        <v>1082</v>
      </c>
    </row>
    <row r="15" spans="1:75" s="20" customFormat="1" ht="174" customHeight="1" x14ac:dyDescent="0.25">
      <c r="A15" s="11">
        <v>37</v>
      </c>
      <c r="B15" s="21">
        <f t="shared" si="0"/>
        <v>68.749856935517315</v>
      </c>
      <c r="C15" s="12" t="s">
        <v>977</v>
      </c>
      <c r="D15" s="12" t="s">
        <v>1123</v>
      </c>
      <c r="E15" s="12" t="s">
        <v>931</v>
      </c>
      <c r="F15" s="12" t="s">
        <v>1178</v>
      </c>
      <c r="G15" s="12"/>
      <c r="H15" s="595"/>
      <c r="I15" s="12" t="s">
        <v>1245</v>
      </c>
      <c r="J15" s="161" t="s">
        <v>1233</v>
      </c>
      <c r="K15" s="13">
        <f>'Calculator Impact  2025'!O114</f>
        <v>7250</v>
      </c>
      <c r="L15" s="13">
        <f>'Calculator Impact  2025'!E114</f>
        <v>78284</v>
      </c>
      <c r="M15" s="14">
        <f>'Calculator Impact  2025'!P114</f>
        <v>9.2600000000000002E-2</v>
      </c>
      <c r="N15" s="200">
        <v>45427</v>
      </c>
      <c r="O15" s="33">
        <v>16</v>
      </c>
      <c r="P15" s="61" t="s">
        <v>26</v>
      </c>
      <c r="Q15" s="61" t="s">
        <v>26</v>
      </c>
      <c r="R15" s="15">
        <v>48230000</v>
      </c>
      <c r="S15" s="31">
        <v>5230000</v>
      </c>
      <c r="T15" s="17">
        <f t="shared" si="1"/>
        <v>43000000</v>
      </c>
      <c r="U15" s="16">
        <v>0</v>
      </c>
      <c r="V15" s="17">
        <f t="shared" si="2"/>
        <v>10000000</v>
      </c>
      <c r="W15" s="32" t="s">
        <v>26</v>
      </c>
      <c r="X15" s="33" t="s">
        <v>1041</v>
      </c>
      <c r="Y15" s="18">
        <f t="shared" si="3"/>
        <v>36</v>
      </c>
      <c r="Z15" s="37">
        <v>200000</v>
      </c>
      <c r="AA15" s="21">
        <f>'Calculator Impact  2025'!$Q$114</f>
        <v>10.93</v>
      </c>
      <c r="AB15" s="14">
        <f t="shared" si="4"/>
        <v>1</v>
      </c>
      <c r="AC15" s="13">
        <v>310522</v>
      </c>
      <c r="AD15" s="14">
        <f t="shared" si="5"/>
        <v>1</v>
      </c>
      <c r="AE15" s="13">
        <f>ROUND(IF(AD15*V15&gt;=1000000,1000000,AD15*V15),0)-AC15</f>
        <v>689478</v>
      </c>
      <c r="AF15" s="13">
        <v>0</v>
      </c>
      <c r="AG15" s="32" t="s">
        <v>27</v>
      </c>
      <c r="AH15" s="13">
        <v>0</v>
      </c>
      <c r="AI15" s="32" t="s">
        <v>27</v>
      </c>
      <c r="AJ15" s="13">
        <f t="shared" si="22"/>
        <v>0</v>
      </c>
      <c r="AK15" s="13">
        <v>0</v>
      </c>
      <c r="AL15" s="616"/>
      <c r="AM15" s="37">
        <f t="shared" si="6"/>
        <v>1000000</v>
      </c>
      <c r="AN15" s="13">
        <f t="shared" si="21"/>
        <v>9000000</v>
      </c>
      <c r="AO15" s="29">
        <f t="shared" si="7"/>
        <v>4.1467965996267887E-3</v>
      </c>
      <c r="AP15" s="34"/>
      <c r="AQ15" s="34"/>
      <c r="AR15" s="19">
        <f t="shared" si="8"/>
        <v>0</v>
      </c>
      <c r="AS15" s="34"/>
      <c r="AT15" s="34" t="s">
        <v>1036</v>
      </c>
      <c r="AU15" s="19"/>
      <c r="AV15" s="19"/>
      <c r="AW15" s="34"/>
      <c r="AX15" s="19">
        <f t="shared" si="9"/>
        <v>10</v>
      </c>
      <c r="AY15" s="34" t="s">
        <v>1036</v>
      </c>
      <c r="AZ15" s="34" t="s">
        <v>1036</v>
      </c>
      <c r="BA15" s="617"/>
      <c r="BB15" s="617"/>
      <c r="BC15" s="617"/>
      <c r="BD15" s="617"/>
      <c r="BE15" s="19">
        <f t="shared" si="10"/>
        <v>0</v>
      </c>
      <c r="BF15" s="624"/>
      <c r="BG15" s="624"/>
      <c r="BH15" s="624"/>
      <c r="BI15" s="624"/>
      <c r="BJ15" s="618">
        <f t="shared" si="11"/>
        <v>2.9856935517312881E-2</v>
      </c>
      <c r="BK15" s="619">
        <f t="shared" si="12"/>
        <v>0</v>
      </c>
      <c r="BL15" s="620">
        <f t="shared" si="13"/>
        <v>3.6</v>
      </c>
      <c r="BM15" s="19">
        <f t="shared" si="14"/>
        <v>5.4</v>
      </c>
      <c r="BN15" s="621">
        <f t="shared" si="15"/>
        <v>7.2</v>
      </c>
      <c r="BO15" s="622">
        <f t="shared" si="16"/>
        <v>11.52</v>
      </c>
      <c r="BP15" s="623">
        <f t="shared" si="17"/>
        <v>5</v>
      </c>
      <c r="BQ15" s="620">
        <f t="shared" si="18"/>
        <v>0</v>
      </c>
      <c r="BR15" s="620"/>
      <c r="BS15" s="13">
        <f t="shared" si="19"/>
        <v>10000000</v>
      </c>
      <c r="BT15" s="618">
        <f t="shared" si="20"/>
        <v>68.749856935517315</v>
      </c>
      <c r="BU15" s="33"/>
      <c r="BV15" s="107" t="s">
        <v>1087</v>
      </c>
      <c r="BW15" s="107" t="s">
        <v>1073</v>
      </c>
    </row>
    <row r="16" spans="1:75" s="20" customFormat="1" ht="79.5" customHeight="1" x14ac:dyDescent="0.25">
      <c r="A16" s="112">
        <v>43</v>
      </c>
      <c r="B16" s="21">
        <f t="shared" si="0"/>
        <v>48.321863799283157</v>
      </c>
      <c r="C16" s="12" t="s">
        <v>983</v>
      </c>
      <c r="D16" s="12" t="s">
        <v>1121</v>
      </c>
      <c r="E16" s="12" t="s">
        <v>929</v>
      </c>
      <c r="F16" s="12" t="s">
        <v>1190</v>
      </c>
      <c r="G16" s="12"/>
      <c r="H16" s="12"/>
      <c r="I16" s="12" t="s">
        <v>1246</v>
      </c>
      <c r="J16" s="161" t="s">
        <v>1231</v>
      </c>
      <c r="K16" s="13">
        <f>'Calculator Impact  2025'!O132</f>
        <v>965</v>
      </c>
      <c r="L16" s="13">
        <f>'Calculator Impact  2025'!E132</f>
        <v>45455</v>
      </c>
      <c r="M16" s="14">
        <f>'Calculator Impact  2025'!P132</f>
        <v>2.12E-2</v>
      </c>
      <c r="N16" s="200">
        <v>45809</v>
      </c>
      <c r="O16" s="33">
        <v>5</v>
      </c>
      <c r="P16" s="61" t="s">
        <v>26</v>
      </c>
      <c r="Q16" s="61" t="s">
        <v>26</v>
      </c>
      <c r="R16" s="15">
        <v>1395000</v>
      </c>
      <c r="S16" s="31">
        <v>0</v>
      </c>
      <c r="T16" s="17">
        <f t="shared" si="1"/>
        <v>1395000</v>
      </c>
      <c r="U16" s="16">
        <v>5000</v>
      </c>
      <c r="V16" s="17">
        <f t="shared" si="2"/>
        <v>1400000</v>
      </c>
      <c r="W16" s="32" t="s">
        <v>26</v>
      </c>
      <c r="X16" s="33" t="s">
        <v>1044</v>
      </c>
      <c r="Y16" s="18">
        <f t="shared" si="3"/>
        <v>22</v>
      </c>
      <c r="Z16" s="37">
        <v>1180000</v>
      </c>
      <c r="AA16" s="21">
        <f>'Calculator Impact  2025'!$Q$132</f>
        <v>6.21</v>
      </c>
      <c r="AB16" s="14">
        <f t="shared" si="4"/>
        <v>0</v>
      </c>
      <c r="AC16" s="13">
        <f>ROUND(IF(AB16*T16&gt;=1000000,1000000,AB16*T16),0)</f>
        <v>0</v>
      </c>
      <c r="AD16" s="14">
        <f t="shared" si="5"/>
        <v>0.3856</v>
      </c>
      <c r="AE16" s="13">
        <f>ROUND(IF(AD16*V16&gt;=1000000,1000000,AD16*V16),0)</f>
        <v>539840</v>
      </c>
      <c r="AF16" s="13">
        <v>0</v>
      </c>
      <c r="AG16" s="32" t="s">
        <v>26</v>
      </c>
      <c r="AH16" s="13">
        <v>5000</v>
      </c>
      <c r="AI16" s="32" t="s">
        <v>27</v>
      </c>
      <c r="AJ16" s="13">
        <f t="shared" si="22"/>
        <v>0</v>
      </c>
      <c r="AK16" s="37">
        <f>460160-5000</f>
        <v>455160</v>
      </c>
      <c r="AL16" s="616"/>
      <c r="AM16" s="37">
        <f t="shared" si="6"/>
        <v>1000000</v>
      </c>
      <c r="AN16" s="13">
        <f t="shared" si="21"/>
        <v>400000</v>
      </c>
      <c r="AO16" s="29">
        <f t="shared" si="7"/>
        <v>0.84587813620071683</v>
      </c>
      <c r="AP16" s="19"/>
      <c r="AQ16" s="34" t="s">
        <v>1036</v>
      </c>
      <c r="AR16" s="19">
        <f t="shared" si="8"/>
        <v>10</v>
      </c>
      <c r="AS16" s="34"/>
      <c r="AT16" s="34"/>
      <c r="AU16" s="19"/>
      <c r="AV16" s="34" t="s">
        <v>1036</v>
      </c>
      <c r="AW16" s="34"/>
      <c r="AX16" s="19">
        <f t="shared" si="9"/>
        <v>20</v>
      </c>
      <c r="AY16" s="34"/>
      <c r="AZ16" s="34" t="s">
        <v>1036</v>
      </c>
      <c r="BA16" s="617"/>
      <c r="BB16" s="617"/>
      <c r="BC16" s="617"/>
      <c r="BD16" s="617" t="s">
        <v>1036</v>
      </c>
      <c r="BE16" s="19">
        <f t="shared" si="10"/>
        <v>20</v>
      </c>
      <c r="BF16" s="624"/>
      <c r="BG16" s="624"/>
      <c r="BH16" s="624"/>
      <c r="BI16" s="624"/>
      <c r="BJ16" s="618">
        <f t="shared" si="11"/>
        <v>3.7218637992831543</v>
      </c>
      <c r="BK16" s="619">
        <f t="shared" si="12"/>
        <v>2.2000000000000002</v>
      </c>
      <c r="BL16" s="620">
        <f t="shared" si="13"/>
        <v>4.4000000000000004</v>
      </c>
      <c r="BM16" s="19">
        <f t="shared" si="14"/>
        <v>0</v>
      </c>
      <c r="BN16" s="621">
        <f t="shared" si="15"/>
        <v>4.4000000000000004</v>
      </c>
      <c r="BO16" s="622">
        <f t="shared" si="16"/>
        <v>2.2000000000000002</v>
      </c>
      <c r="BP16" s="623">
        <f t="shared" si="17"/>
        <v>5</v>
      </c>
      <c r="BQ16" s="620">
        <f t="shared" si="18"/>
        <v>4.4000000000000004</v>
      </c>
      <c r="BR16" s="620"/>
      <c r="BS16" s="13">
        <f t="shared" si="19"/>
        <v>1400000</v>
      </c>
      <c r="BT16" s="618">
        <f t="shared" si="20"/>
        <v>48.321863799283157</v>
      </c>
      <c r="BU16" s="33"/>
      <c r="BV16" s="669" t="s">
        <v>1072</v>
      </c>
    </row>
    <row r="17" spans="1:76" s="20" customFormat="1" ht="150" customHeight="1" x14ac:dyDescent="0.25">
      <c r="A17" s="11">
        <v>45</v>
      </c>
      <c r="B17" s="21">
        <f t="shared" si="0"/>
        <v>73.88</v>
      </c>
      <c r="C17" s="12" t="s">
        <v>985</v>
      </c>
      <c r="D17" s="12" t="s">
        <v>986</v>
      </c>
      <c r="E17" s="12" t="s">
        <v>929</v>
      </c>
      <c r="F17" s="12" t="s">
        <v>1224</v>
      </c>
      <c r="G17" s="12"/>
      <c r="H17" s="12"/>
      <c r="I17" s="12" t="s">
        <v>1247</v>
      </c>
      <c r="J17" s="161"/>
      <c r="K17" s="13">
        <f>'Calculator Impact  2025'!O134</f>
        <v>3387</v>
      </c>
      <c r="L17" s="13">
        <f>'Calculator Impact  2025'!E134</f>
        <v>83542</v>
      </c>
      <c r="M17" s="14">
        <f>'Calculator Impact  2025'!P134</f>
        <v>4.0500000000000001E-2</v>
      </c>
      <c r="N17" s="200">
        <v>45748</v>
      </c>
      <c r="O17" s="33">
        <v>7</v>
      </c>
      <c r="P17" s="61" t="s">
        <v>26</v>
      </c>
      <c r="Q17" s="61" t="s">
        <v>26</v>
      </c>
      <c r="R17" s="15">
        <v>9320001</v>
      </c>
      <c r="S17" s="31">
        <v>1</v>
      </c>
      <c r="T17" s="17">
        <f t="shared" si="1"/>
        <v>9320000</v>
      </c>
      <c r="U17" s="16">
        <v>0</v>
      </c>
      <c r="V17" s="17">
        <f t="shared" si="2"/>
        <v>9320000</v>
      </c>
      <c r="W17" s="32" t="s">
        <v>26</v>
      </c>
      <c r="X17" s="33" t="s">
        <v>1042</v>
      </c>
      <c r="Y17" s="18">
        <f t="shared" si="3"/>
        <v>42</v>
      </c>
      <c r="Z17" s="37">
        <v>0</v>
      </c>
      <c r="AA17" s="21">
        <f>'Calculator Impact  2025'!$Q$134</f>
        <v>7.04</v>
      </c>
      <c r="AB17" s="14">
        <f t="shared" si="4"/>
        <v>0.49559999999999998</v>
      </c>
      <c r="AC17" s="13">
        <v>975000</v>
      </c>
      <c r="AD17" s="14">
        <f t="shared" si="5"/>
        <v>0.49559999999999998</v>
      </c>
      <c r="AE17" s="13">
        <v>0</v>
      </c>
      <c r="AF17" s="13">
        <v>0</v>
      </c>
      <c r="AG17" s="32" t="s">
        <v>27</v>
      </c>
      <c r="AH17" s="13">
        <v>0</v>
      </c>
      <c r="AI17" s="32" t="s">
        <v>26</v>
      </c>
      <c r="AJ17" s="13">
        <f t="shared" si="22"/>
        <v>25000</v>
      </c>
      <c r="AK17" s="13">
        <v>0</v>
      </c>
      <c r="AL17" s="627"/>
      <c r="AM17" s="37">
        <f t="shared" si="6"/>
        <v>1000000</v>
      </c>
      <c r="AN17" s="13">
        <f t="shared" si="21"/>
        <v>8320000</v>
      </c>
      <c r="AO17" s="29">
        <f t="shared" si="7"/>
        <v>0</v>
      </c>
      <c r="AP17" s="34" t="s">
        <v>1036</v>
      </c>
      <c r="AQ17" s="34"/>
      <c r="AR17" s="19">
        <f t="shared" si="8"/>
        <v>20</v>
      </c>
      <c r="AS17" s="34"/>
      <c r="AT17" s="34" t="s">
        <v>1036</v>
      </c>
      <c r="AU17" s="34"/>
      <c r="AV17" s="19"/>
      <c r="AW17" s="34"/>
      <c r="AX17" s="19">
        <f t="shared" si="9"/>
        <v>10</v>
      </c>
      <c r="AY17" s="34"/>
      <c r="AZ17" s="34" t="s">
        <v>1036</v>
      </c>
      <c r="BA17" s="617"/>
      <c r="BB17" s="617"/>
      <c r="BC17" s="617"/>
      <c r="BD17" s="617"/>
      <c r="BE17" s="19">
        <f t="shared" si="10"/>
        <v>0</v>
      </c>
      <c r="BF17" s="624"/>
      <c r="BG17" s="624"/>
      <c r="BH17" s="624"/>
      <c r="BI17" s="624"/>
      <c r="BJ17" s="618">
        <f t="shared" si="11"/>
        <v>0</v>
      </c>
      <c r="BK17" s="619">
        <f t="shared" si="12"/>
        <v>8.4</v>
      </c>
      <c r="BL17" s="620">
        <f t="shared" si="13"/>
        <v>4.2</v>
      </c>
      <c r="BM17" s="19">
        <f t="shared" si="14"/>
        <v>0</v>
      </c>
      <c r="BN17" s="621">
        <f t="shared" si="15"/>
        <v>8.4</v>
      </c>
      <c r="BO17" s="622">
        <f t="shared" si="16"/>
        <v>5.88</v>
      </c>
      <c r="BP17" s="623">
        <f t="shared" si="17"/>
        <v>5</v>
      </c>
      <c r="BQ17" s="620">
        <f t="shared" si="18"/>
        <v>0</v>
      </c>
      <c r="BR17" s="620"/>
      <c r="BS17" s="13">
        <f t="shared" si="19"/>
        <v>9320000</v>
      </c>
      <c r="BT17" s="618">
        <f t="shared" si="20"/>
        <v>73.88</v>
      </c>
      <c r="BU17" s="33"/>
      <c r="BV17" s="107" t="s">
        <v>1088</v>
      </c>
      <c r="BW17" s="107" t="s">
        <v>1073</v>
      </c>
    </row>
    <row r="18" spans="1:76" s="20" customFormat="1" ht="62.5" x14ac:dyDescent="0.25">
      <c r="A18" s="112">
        <v>46</v>
      </c>
      <c r="B18" s="21">
        <f t="shared" si="0"/>
        <v>52.147494936401202</v>
      </c>
      <c r="C18" s="12" t="s">
        <v>985</v>
      </c>
      <c r="D18" s="12" t="s">
        <v>1090</v>
      </c>
      <c r="E18" s="12" t="s">
        <v>931</v>
      </c>
      <c r="F18" s="12" t="s">
        <v>1188</v>
      </c>
      <c r="G18" s="12"/>
      <c r="H18" s="12"/>
      <c r="I18" s="12"/>
      <c r="J18" s="161"/>
      <c r="K18" s="13">
        <f>'Calculator Impact  2025'!O134</f>
        <v>3387</v>
      </c>
      <c r="L18" s="13">
        <f>'Calculator Impact  2025'!E134</f>
        <v>83542</v>
      </c>
      <c r="M18" s="14">
        <f>'Calculator Impact  2025'!P134</f>
        <v>4.0500000000000001E-2</v>
      </c>
      <c r="N18" s="200">
        <v>45839</v>
      </c>
      <c r="O18" s="33">
        <v>4</v>
      </c>
      <c r="P18" s="61" t="s">
        <v>26</v>
      </c>
      <c r="Q18" s="61" t="s">
        <v>26</v>
      </c>
      <c r="R18" s="15">
        <v>24686000</v>
      </c>
      <c r="S18" s="31">
        <v>1000000</v>
      </c>
      <c r="T18" s="17">
        <f t="shared" si="1"/>
        <v>23686000</v>
      </c>
      <c r="U18" s="16">
        <v>0</v>
      </c>
      <c r="V18" s="17">
        <f t="shared" si="2"/>
        <v>10000000</v>
      </c>
      <c r="W18" s="32" t="s">
        <v>26</v>
      </c>
      <c r="X18" s="33" t="s">
        <v>1039</v>
      </c>
      <c r="Y18" s="18">
        <f t="shared" si="3"/>
        <v>27</v>
      </c>
      <c r="Z18" s="37">
        <v>2000000</v>
      </c>
      <c r="AA18" s="21">
        <f>'Calculator Impact  2025'!$Q$134</f>
        <v>7.04</v>
      </c>
      <c r="AB18" s="14">
        <f t="shared" si="4"/>
        <v>0.49559999999999998</v>
      </c>
      <c r="AC18" s="13">
        <v>0</v>
      </c>
      <c r="AD18" s="14">
        <f t="shared" si="5"/>
        <v>0.49559999999999998</v>
      </c>
      <c r="AE18" s="13">
        <v>0</v>
      </c>
      <c r="AF18" s="13">
        <v>0</v>
      </c>
      <c r="AG18" s="32" t="s">
        <v>27</v>
      </c>
      <c r="AH18" s="13">
        <v>0</v>
      </c>
      <c r="AI18" s="32" t="s">
        <v>27</v>
      </c>
      <c r="AJ18" s="13">
        <f t="shared" si="22"/>
        <v>0</v>
      </c>
      <c r="AK18" s="13">
        <v>0</v>
      </c>
      <c r="AL18" s="616"/>
      <c r="AM18" s="37">
        <f t="shared" si="6"/>
        <v>0</v>
      </c>
      <c r="AN18" s="13">
        <v>0</v>
      </c>
      <c r="AO18" s="29">
        <f t="shared" si="7"/>
        <v>8.1017580815036863E-2</v>
      </c>
      <c r="AP18" s="34" t="s">
        <v>1036</v>
      </c>
      <c r="AQ18" s="34"/>
      <c r="AR18" s="19">
        <f t="shared" si="8"/>
        <v>20</v>
      </c>
      <c r="AS18" s="34"/>
      <c r="AT18" s="34"/>
      <c r="AU18" s="34" t="s">
        <v>1036</v>
      </c>
      <c r="AV18" s="19"/>
      <c r="AW18" s="34"/>
      <c r="AX18" s="19">
        <f t="shared" si="9"/>
        <v>15</v>
      </c>
      <c r="AY18" s="34"/>
      <c r="AZ18" s="34" t="s">
        <v>1036</v>
      </c>
      <c r="BA18" s="617"/>
      <c r="BB18" s="617" t="s">
        <v>1036</v>
      </c>
      <c r="BC18" s="617"/>
      <c r="BD18" s="617"/>
      <c r="BE18" s="19">
        <f t="shared" si="10"/>
        <v>10</v>
      </c>
      <c r="BF18" s="624"/>
      <c r="BG18" s="624"/>
      <c r="BH18" s="624"/>
      <c r="BI18" s="624"/>
      <c r="BJ18" s="618">
        <f t="shared" si="11"/>
        <v>0.43749493640119907</v>
      </c>
      <c r="BK18" s="619">
        <f t="shared" si="12"/>
        <v>5.4</v>
      </c>
      <c r="BL18" s="620">
        <f t="shared" si="13"/>
        <v>4.05</v>
      </c>
      <c r="BM18" s="19">
        <f t="shared" si="14"/>
        <v>0</v>
      </c>
      <c r="BN18" s="621">
        <f t="shared" si="15"/>
        <v>5.4</v>
      </c>
      <c r="BO18" s="622">
        <f t="shared" si="16"/>
        <v>2.16</v>
      </c>
      <c r="BP18" s="623">
        <f t="shared" si="17"/>
        <v>5</v>
      </c>
      <c r="BQ18" s="620">
        <f t="shared" si="18"/>
        <v>2.7</v>
      </c>
      <c r="BR18" s="620"/>
      <c r="BS18" s="13">
        <f t="shared" si="19"/>
        <v>0</v>
      </c>
      <c r="BT18" s="618">
        <f t="shared" si="20"/>
        <v>52.147494936401202</v>
      </c>
      <c r="BU18" s="33"/>
      <c r="BV18" s="107" t="s">
        <v>1089</v>
      </c>
      <c r="BW18" s="107" t="s">
        <v>1073</v>
      </c>
    </row>
    <row r="19" spans="1:76" s="20" customFormat="1" ht="187.5" customHeight="1" x14ac:dyDescent="0.25">
      <c r="A19" s="11">
        <v>48</v>
      </c>
      <c r="B19" s="21">
        <f t="shared" si="0"/>
        <v>64.94</v>
      </c>
      <c r="C19" s="12" t="s">
        <v>988</v>
      </c>
      <c r="D19" s="12" t="s">
        <v>1126</v>
      </c>
      <c r="E19" s="12" t="s">
        <v>931</v>
      </c>
      <c r="F19" s="12" t="s">
        <v>1179</v>
      </c>
      <c r="G19" s="12"/>
      <c r="H19" s="12"/>
      <c r="I19" s="12" t="s">
        <v>1252</v>
      </c>
      <c r="J19" s="161"/>
      <c r="K19" s="13">
        <f>'Calculator Impact  2025'!O137</f>
        <v>854</v>
      </c>
      <c r="L19" s="13">
        <f>'Calculator Impact  2025'!E137</f>
        <v>70517</v>
      </c>
      <c r="M19" s="14">
        <f>'Calculator Impact  2025'!P137</f>
        <v>1.21E-2</v>
      </c>
      <c r="N19" s="200">
        <v>45376</v>
      </c>
      <c r="O19" s="33">
        <v>16</v>
      </c>
      <c r="P19" s="61" t="s">
        <v>26</v>
      </c>
      <c r="Q19" s="61" t="s">
        <v>26</v>
      </c>
      <c r="R19" s="15">
        <v>61956978</v>
      </c>
      <c r="S19" s="31">
        <v>10956978</v>
      </c>
      <c r="T19" s="17">
        <f t="shared" si="1"/>
        <v>51000000</v>
      </c>
      <c r="U19" s="16">
        <v>0</v>
      </c>
      <c r="V19" s="17">
        <v>10000000</v>
      </c>
      <c r="W19" s="32" t="s">
        <v>26</v>
      </c>
      <c r="X19" s="33" t="s">
        <v>1039</v>
      </c>
      <c r="Y19" s="18">
        <f t="shared" si="3"/>
        <v>27</v>
      </c>
      <c r="Z19" s="37">
        <f>R19</f>
        <v>61956978</v>
      </c>
      <c r="AA19" s="21">
        <f>'Calculator Impact  2025'!$Q$137</f>
        <v>3.2</v>
      </c>
      <c r="AB19" s="14">
        <f t="shared" si="4"/>
        <v>0</v>
      </c>
      <c r="AC19" s="13">
        <f>ROUND(IF(AB19*T19&gt;=1000000,1000000,AB19*T19),0)</f>
        <v>0</v>
      </c>
      <c r="AD19" s="14">
        <f t="shared" si="5"/>
        <v>0</v>
      </c>
      <c r="AE19" s="13">
        <f>ROUND(IF(AD19*V19&gt;=1000000,1000000,AD19*V19),0)</f>
        <v>0</v>
      </c>
      <c r="AF19" s="13">
        <v>0</v>
      </c>
      <c r="AG19" s="32" t="s">
        <v>27</v>
      </c>
      <c r="AH19" s="13">
        <v>0</v>
      </c>
      <c r="AI19" s="32" t="s">
        <v>27</v>
      </c>
      <c r="AJ19" s="13">
        <f t="shared" si="22"/>
        <v>0</v>
      </c>
      <c r="AK19" s="13">
        <v>0</v>
      </c>
      <c r="AL19" s="616"/>
      <c r="AM19" s="37">
        <f t="shared" si="6"/>
        <v>0</v>
      </c>
      <c r="AN19" s="13">
        <f>+V19-(AC19+AE19+AH19+AJ19+AK19)</f>
        <v>10000000</v>
      </c>
      <c r="AO19" s="29">
        <f t="shared" si="7"/>
        <v>1</v>
      </c>
      <c r="AP19" s="19"/>
      <c r="AQ19" s="34" t="s">
        <v>1036</v>
      </c>
      <c r="AR19" s="19">
        <f t="shared" si="8"/>
        <v>10</v>
      </c>
      <c r="AS19" s="34"/>
      <c r="AT19" s="34"/>
      <c r="AU19" s="19"/>
      <c r="AV19" s="19"/>
      <c r="AW19" s="34" t="s">
        <v>1036</v>
      </c>
      <c r="AX19" s="19">
        <f t="shared" si="9"/>
        <v>25</v>
      </c>
      <c r="AY19" s="34"/>
      <c r="AZ19" s="34" t="s">
        <v>1036</v>
      </c>
      <c r="BA19" s="617"/>
      <c r="BB19" s="617"/>
      <c r="BC19" s="617" t="s">
        <v>1036</v>
      </c>
      <c r="BD19" s="617"/>
      <c r="BE19" s="19">
        <f t="shared" si="10"/>
        <v>15</v>
      </c>
      <c r="BF19" s="624"/>
      <c r="BG19" s="624"/>
      <c r="BH19" s="624"/>
      <c r="BI19" s="624"/>
      <c r="BJ19" s="618">
        <f t="shared" si="11"/>
        <v>5.4</v>
      </c>
      <c r="BK19" s="619">
        <f t="shared" si="12"/>
        <v>2.7</v>
      </c>
      <c r="BL19" s="620">
        <f t="shared" si="13"/>
        <v>6.75</v>
      </c>
      <c r="BM19" s="19">
        <f t="shared" si="14"/>
        <v>0</v>
      </c>
      <c r="BN19" s="621">
        <f t="shared" si="15"/>
        <v>5.4</v>
      </c>
      <c r="BO19" s="622">
        <f t="shared" si="16"/>
        <v>8.64</v>
      </c>
      <c r="BP19" s="623">
        <f t="shared" si="17"/>
        <v>5</v>
      </c>
      <c r="BQ19" s="620">
        <f t="shared" si="18"/>
        <v>4.05</v>
      </c>
      <c r="BR19" s="620"/>
      <c r="BS19" s="13">
        <f t="shared" si="19"/>
        <v>10000000</v>
      </c>
      <c r="BT19" s="618">
        <f t="shared" si="20"/>
        <v>64.94</v>
      </c>
      <c r="BU19" s="33"/>
      <c r="BV19" s="107" t="s">
        <v>1094</v>
      </c>
      <c r="BW19" s="107" t="s">
        <v>1073</v>
      </c>
    </row>
    <row r="20" spans="1:76" s="20" customFormat="1" ht="63.75" customHeight="1" x14ac:dyDescent="0.25">
      <c r="A20" s="11">
        <v>53</v>
      </c>
      <c r="B20" s="21">
        <f t="shared" si="0"/>
        <v>52.033999999999999</v>
      </c>
      <c r="C20" s="12" t="s">
        <v>997</v>
      </c>
      <c r="D20" s="12" t="s">
        <v>1059</v>
      </c>
      <c r="E20" s="12" t="s">
        <v>931</v>
      </c>
      <c r="F20" s="12" t="s">
        <v>1186</v>
      </c>
      <c r="G20" s="12"/>
      <c r="H20" s="12"/>
      <c r="I20" s="12" t="s">
        <v>1248</v>
      </c>
      <c r="J20" s="161"/>
      <c r="K20" s="13">
        <f>'Calculator Impact  2025'!O168</f>
        <v>7250</v>
      </c>
      <c r="L20" s="13">
        <f>'Calculator Impact  2025'!E168</f>
        <v>92475</v>
      </c>
      <c r="M20" s="14">
        <f>'Calculator Impact  2025'!P168</f>
        <v>7.8399999999999997E-2</v>
      </c>
      <c r="N20" s="200">
        <v>45762</v>
      </c>
      <c r="O20" s="33">
        <v>7</v>
      </c>
      <c r="P20" s="61" t="s">
        <v>26</v>
      </c>
      <c r="Q20" s="61" t="s">
        <v>26</v>
      </c>
      <c r="R20" s="15">
        <v>13000000</v>
      </c>
      <c r="S20" s="31">
        <v>0</v>
      </c>
      <c r="T20" s="17">
        <f t="shared" si="1"/>
        <v>13000000</v>
      </c>
      <c r="U20" s="16">
        <v>0</v>
      </c>
      <c r="V20" s="17">
        <f>IF((T20+U20)&gt;10000000,10000000,(T20+U20))</f>
        <v>10000000</v>
      </c>
      <c r="W20" s="32" t="s">
        <v>26</v>
      </c>
      <c r="X20" s="33" t="s">
        <v>1039</v>
      </c>
      <c r="Y20" s="18">
        <f t="shared" si="3"/>
        <v>27</v>
      </c>
      <c r="Z20" s="37">
        <v>130000</v>
      </c>
      <c r="AA20" s="21">
        <f>'Calculator Impact  2025'!$Q$168</f>
        <v>9.4499999999999993</v>
      </c>
      <c r="AB20" s="14">
        <f t="shared" si="4"/>
        <v>0.89300000000000002</v>
      </c>
      <c r="AC20" s="13">
        <v>0</v>
      </c>
      <c r="AD20" s="14">
        <f t="shared" si="5"/>
        <v>0.89300000000000002</v>
      </c>
      <c r="AE20" s="13">
        <v>925000</v>
      </c>
      <c r="AF20" s="13">
        <v>0</v>
      </c>
      <c r="AG20" s="32" t="s">
        <v>26</v>
      </c>
      <c r="AH20" s="13">
        <v>50000</v>
      </c>
      <c r="AI20" s="32" t="s">
        <v>26</v>
      </c>
      <c r="AJ20" s="13">
        <f t="shared" si="22"/>
        <v>25000</v>
      </c>
      <c r="AK20" s="13">
        <v>0</v>
      </c>
      <c r="AL20" s="616"/>
      <c r="AM20" s="37">
        <f t="shared" si="6"/>
        <v>1000000</v>
      </c>
      <c r="AN20" s="13">
        <v>0</v>
      </c>
      <c r="AO20" s="29">
        <f t="shared" si="7"/>
        <v>0.01</v>
      </c>
      <c r="AP20" s="34"/>
      <c r="AQ20" s="34"/>
      <c r="AR20" s="19">
        <f t="shared" si="8"/>
        <v>0</v>
      </c>
      <c r="AS20" s="34"/>
      <c r="AT20" s="34"/>
      <c r="AU20" s="19"/>
      <c r="AV20" s="34"/>
      <c r="AW20" s="34" t="s">
        <v>1036</v>
      </c>
      <c r="AX20" s="19">
        <f t="shared" si="9"/>
        <v>25</v>
      </c>
      <c r="AY20" s="34" t="s">
        <v>1036</v>
      </c>
      <c r="AZ20" s="34" t="s">
        <v>1036</v>
      </c>
      <c r="BA20" s="617"/>
      <c r="BB20" s="617"/>
      <c r="BC20" s="617"/>
      <c r="BD20" s="617"/>
      <c r="BE20" s="19">
        <f t="shared" si="10"/>
        <v>0</v>
      </c>
      <c r="BF20" s="624"/>
      <c r="BG20" s="624"/>
      <c r="BH20" s="624"/>
      <c r="BI20" s="624"/>
      <c r="BJ20" s="618">
        <f t="shared" si="11"/>
        <v>5.3999999999999999E-2</v>
      </c>
      <c r="BK20" s="619">
        <f t="shared" si="12"/>
        <v>0</v>
      </c>
      <c r="BL20" s="620">
        <f t="shared" si="13"/>
        <v>6.75</v>
      </c>
      <c r="BM20" s="19">
        <f t="shared" si="14"/>
        <v>4.05</v>
      </c>
      <c r="BN20" s="621">
        <f t="shared" si="15"/>
        <v>5.4</v>
      </c>
      <c r="BO20" s="622">
        <f t="shared" si="16"/>
        <v>3.78</v>
      </c>
      <c r="BP20" s="623">
        <f t="shared" si="17"/>
        <v>5</v>
      </c>
      <c r="BQ20" s="620">
        <f t="shared" si="18"/>
        <v>0</v>
      </c>
      <c r="BR20" s="620"/>
      <c r="BS20" s="13">
        <f t="shared" si="19"/>
        <v>1000000</v>
      </c>
      <c r="BT20" s="618">
        <f t="shared" si="20"/>
        <v>52.033999999999999</v>
      </c>
      <c r="BU20" s="33"/>
    </row>
    <row r="21" spans="1:76" s="20" customFormat="1" ht="91.5" customHeight="1" x14ac:dyDescent="0.25">
      <c r="A21" s="112">
        <v>54</v>
      </c>
      <c r="B21" s="21">
        <f t="shared" si="0"/>
        <v>54.14</v>
      </c>
      <c r="C21" s="12" t="s">
        <v>998</v>
      </c>
      <c r="D21" s="12" t="s">
        <v>1112</v>
      </c>
      <c r="E21" s="12" t="s">
        <v>928</v>
      </c>
      <c r="F21" s="12" t="s">
        <v>1185</v>
      </c>
      <c r="G21" s="12"/>
      <c r="H21" s="12"/>
      <c r="I21" s="12" t="s">
        <v>1249</v>
      </c>
      <c r="J21" s="161" t="s">
        <v>1226</v>
      </c>
      <c r="K21" s="13">
        <f>'Calculator Impact  2025'!O169</f>
        <v>649</v>
      </c>
      <c r="L21" s="13">
        <f>'Calculator Impact  2025'!E169</f>
        <v>46980</v>
      </c>
      <c r="M21" s="14">
        <f>'Calculator Impact  2025'!P169</f>
        <v>1.38E-2</v>
      </c>
      <c r="N21" s="200">
        <v>45139</v>
      </c>
      <c r="O21" s="33">
        <v>16</v>
      </c>
      <c r="P21" s="61" t="s">
        <v>26</v>
      </c>
      <c r="Q21" s="61" t="s">
        <v>26</v>
      </c>
      <c r="R21" s="15">
        <v>17000000</v>
      </c>
      <c r="S21" s="31">
        <v>11000000</v>
      </c>
      <c r="T21" s="17">
        <f t="shared" si="1"/>
        <v>6000000</v>
      </c>
      <c r="U21" s="16">
        <v>0</v>
      </c>
      <c r="V21" s="17">
        <f>IF((T21+U21)&gt;10000000,10000000,(T21+U21))</f>
        <v>6000000</v>
      </c>
      <c r="W21" s="32" t="s">
        <v>26</v>
      </c>
      <c r="X21" s="33" t="s">
        <v>1039</v>
      </c>
      <c r="Y21" s="18">
        <f t="shared" si="3"/>
        <v>27</v>
      </c>
      <c r="Z21" s="37">
        <v>0</v>
      </c>
      <c r="AA21" s="21">
        <f>'Calculator Impact  2025'!$Q$169</f>
        <v>5.01</v>
      </c>
      <c r="AB21" s="14">
        <f t="shared" si="4"/>
        <v>0</v>
      </c>
      <c r="AC21" s="13">
        <f>ROUND(IF(AB21*T21&gt;=1000000,1000000,AB21*T21),0)</f>
        <v>0</v>
      </c>
      <c r="AD21" s="14">
        <f t="shared" si="5"/>
        <v>0</v>
      </c>
      <c r="AE21" s="13">
        <f>ROUND(IF(AD21*V21&gt;=1000000,1000000,AD21*V21),0)</f>
        <v>0</v>
      </c>
      <c r="AF21" s="13">
        <v>0</v>
      </c>
      <c r="AG21" s="32" t="s">
        <v>27</v>
      </c>
      <c r="AH21" s="13">
        <v>0</v>
      </c>
      <c r="AI21" s="32" t="s">
        <v>27</v>
      </c>
      <c r="AJ21" s="13">
        <f t="shared" si="22"/>
        <v>0</v>
      </c>
      <c r="AK21" s="13">
        <f>Z21+AJ21</f>
        <v>0</v>
      </c>
      <c r="AL21" s="616"/>
      <c r="AM21" s="37">
        <f t="shared" si="6"/>
        <v>0</v>
      </c>
      <c r="AN21" s="13">
        <f>+V21-(AC21+AE21+AH21+AJ21+AK21)</f>
        <v>6000000</v>
      </c>
      <c r="AO21" s="29">
        <f t="shared" si="7"/>
        <v>0</v>
      </c>
      <c r="AP21" s="34"/>
      <c r="AQ21" s="34" t="s">
        <v>1036</v>
      </c>
      <c r="AR21" s="19">
        <f t="shared" si="8"/>
        <v>10</v>
      </c>
      <c r="AS21" s="34"/>
      <c r="AT21" s="34" t="s">
        <v>1036</v>
      </c>
      <c r="AU21" s="19"/>
      <c r="AV21" s="19"/>
      <c r="AW21" s="34"/>
      <c r="AX21" s="19">
        <f t="shared" si="9"/>
        <v>10</v>
      </c>
      <c r="AY21" s="34"/>
      <c r="AZ21" s="34" t="s">
        <v>1036</v>
      </c>
      <c r="BA21" s="617"/>
      <c r="BB21" s="617" t="s">
        <v>1036</v>
      </c>
      <c r="BC21" s="617"/>
      <c r="BD21" s="617"/>
      <c r="BE21" s="19">
        <f t="shared" si="10"/>
        <v>10</v>
      </c>
      <c r="BF21" s="624"/>
      <c r="BG21" s="624"/>
      <c r="BH21" s="624"/>
      <c r="BI21" s="624"/>
      <c r="BJ21" s="618">
        <f t="shared" si="11"/>
        <v>0</v>
      </c>
      <c r="BK21" s="619">
        <f t="shared" si="12"/>
        <v>2.7</v>
      </c>
      <c r="BL21" s="620">
        <f t="shared" si="13"/>
        <v>2.7</v>
      </c>
      <c r="BM21" s="19">
        <f t="shared" si="14"/>
        <v>0</v>
      </c>
      <c r="BN21" s="621">
        <f t="shared" si="15"/>
        <v>5.4</v>
      </c>
      <c r="BO21" s="622">
        <f t="shared" si="16"/>
        <v>8.64</v>
      </c>
      <c r="BP21" s="623">
        <f t="shared" si="17"/>
        <v>5</v>
      </c>
      <c r="BQ21" s="620">
        <f t="shared" si="18"/>
        <v>2.7</v>
      </c>
      <c r="BR21" s="620"/>
      <c r="BS21" s="13">
        <f t="shared" si="19"/>
        <v>6000000</v>
      </c>
      <c r="BT21" s="618">
        <f t="shared" si="20"/>
        <v>54.14</v>
      </c>
      <c r="BU21" s="33"/>
      <c r="BV21" s="107" t="s">
        <v>1096</v>
      </c>
      <c r="BW21" s="107" t="s">
        <v>1073</v>
      </c>
    </row>
    <row r="22" spans="1:76" s="20" customFormat="1" ht="67.5" customHeight="1" x14ac:dyDescent="0.25">
      <c r="A22" s="112">
        <v>55</v>
      </c>
      <c r="B22" s="21">
        <f t="shared" si="0"/>
        <v>60.35682984767989</v>
      </c>
      <c r="C22" s="12" t="s">
        <v>999</v>
      </c>
      <c r="D22" s="12" t="s">
        <v>1062</v>
      </c>
      <c r="E22" s="12" t="s">
        <v>928</v>
      </c>
      <c r="F22" s="12" t="s">
        <v>1180</v>
      </c>
      <c r="G22" s="12"/>
      <c r="H22" s="12"/>
      <c r="I22" s="12" t="s">
        <v>1250</v>
      </c>
      <c r="J22" s="161" t="s">
        <v>1226</v>
      </c>
      <c r="K22" s="13">
        <f>'Calculator Impact  2025'!O171</f>
        <v>1673</v>
      </c>
      <c r="L22" s="13">
        <f>'Calculator Impact  2025'!E171</f>
        <v>40000</v>
      </c>
      <c r="M22" s="14">
        <f>'Calculator Impact  2025'!P171</f>
        <v>4.1799999999999997E-2</v>
      </c>
      <c r="N22" s="200">
        <v>45474</v>
      </c>
      <c r="O22" s="33">
        <v>16</v>
      </c>
      <c r="P22" s="61" t="s">
        <v>26</v>
      </c>
      <c r="Q22" s="61" t="s">
        <v>26</v>
      </c>
      <c r="R22" s="15">
        <f>24931200-U22</f>
        <v>24921200</v>
      </c>
      <c r="S22" s="16">
        <v>20634633</v>
      </c>
      <c r="T22" s="17">
        <f t="shared" si="1"/>
        <v>4286567</v>
      </c>
      <c r="U22" s="16">
        <v>10000</v>
      </c>
      <c r="V22" s="17">
        <f>IF((T22+U22)&gt;10000000,10000000,(T22+U22))</f>
        <v>4296567</v>
      </c>
      <c r="W22" s="32" t="s">
        <v>26</v>
      </c>
      <c r="X22" s="33" t="s">
        <v>1039</v>
      </c>
      <c r="Y22" s="18">
        <f t="shared" si="3"/>
        <v>27</v>
      </c>
      <c r="Z22" s="37">
        <v>10000000</v>
      </c>
      <c r="AA22" s="21">
        <f>'Calculator Impact  2025'!$Q$171</f>
        <v>8.98</v>
      </c>
      <c r="AB22" s="14">
        <f t="shared" si="4"/>
        <v>0.80640000000000001</v>
      </c>
      <c r="AC22" s="13">
        <v>0</v>
      </c>
      <c r="AD22" s="14">
        <f t="shared" si="5"/>
        <v>0.80640000000000001</v>
      </c>
      <c r="AE22" s="13">
        <v>990000</v>
      </c>
      <c r="AF22" s="13">
        <v>0</v>
      </c>
      <c r="AG22" s="32" t="s">
        <v>26</v>
      </c>
      <c r="AH22" s="13">
        <v>10000</v>
      </c>
      <c r="AI22" s="32" t="s">
        <v>27</v>
      </c>
      <c r="AJ22" s="13">
        <f t="shared" si="22"/>
        <v>0</v>
      </c>
      <c r="AK22" s="13">
        <v>0</v>
      </c>
      <c r="AL22" s="628"/>
      <c r="AM22" s="37">
        <f t="shared" si="6"/>
        <v>1000000</v>
      </c>
      <c r="AN22" s="13">
        <v>0</v>
      </c>
      <c r="AO22" s="29">
        <f t="shared" si="7"/>
        <v>0.40126478660738646</v>
      </c>
      <c r="AP22" s="34" t="s">
        <v>1036</v>
      </c>
      <c r="AQ22" s="34"/>
      <c r="AR22" s="19">
        <f t="shared" si="8"/>
        <v>20</v>
      </c>
      <c r="AS22" s="34"/>
      <c r="AT22" s="34"/>
      <c r="AU22" s="34"/>
      <c r="AV22" s="19"/>
      <c r="AW22" s="34" t="s">
        <v>1036</v>
      </c>
      <c r="AX22" s="19">
        <f t="shared" si="9"/>
        <v>25</v>
      </c>
      <c r="AY22" s="34"/>
      <c r="AZ22" s="34" t="s">
        <v>1036</v>
      </c>
      <c r="BA22" s="617"/>
      <c r="BB22" s="617"/>
      <c r="BC22" s="617"/>
      <c r="BD22" s="617"/>
      <c r="BE22" s="19">
        <f t="shared" si="10"/>
        <v>0</v>
      </c>
      <c r="BF22" s="624"/>
      <c r="BG22" s="624"/>
      <c r="BH22" s="624"/>
      <c r="BI22" s="624"/>
      <c r="BJ22" s="618">
        <f t="shared" si="11"/>
        <v>2.1668298476798871</v>
      </c>
      <c r="BK22" s="619">
        <f t="shared" si="12"/>
        <v>5.4</v>
      </c>
      <c r="BL22" s="620">
        <f t="shared" si="13"/>
        <v>6.75</v>
      </c>
      <c r="BM22" s="19">
        <f t="shared" si="14"/>
        <v>0</v>
      </c>
      <c r="BN22" s="621">
        <f t="shared" si="15"/>
        <v>5.4</v>
      </c>
      <c r="BO22" s="622">
        <f t="shared" si="16"/>
        <v>8.64</v>
      </c>
      <c r="BP22" s="623">
        <f t="shared" si="17"/>
        <v>5</v>
      </c>
      <c r="BQ22" s="620">
        <f t="shared" si="18"/>
        <v>0</v>
      </c>
      <c r="BR22" s="620"/>
      <c r="BS22" s="13">
        <f t="shared" si="19"/>
        <v>1000000</v>
      </c>
      <c r="BT22" s="618">
        <f t="shared" si="20"/>
        <v>60.35682984767989</v>
      </c>
      <c r="BU22" s="33"/>
      <c r="BV22" s="107" t="s">
        <v>1097</v>
      </c>
      <c r="BW22" s="107" t="s">
        <v>1073</v>
      </c>
    </row>
    <row r="23" spans="1:76" s="20" customFormat="1" ht="15.5" x14ac:dyDescent="0.25">
      <c r="A23" s="500"/>
      <c r="B23" s="501"/>
      <c r="C23" s="502"/>
      <c r="D23" s="502"/>
      <c r="E23" s="502"/>
      <c r="F23" s="502"/>
      <c r="G23" s="502"/>
      <c r="H23" s="502"/>
      <c r="I23" s="502"/>
      <c r="J23" s="503"/>
      <c r="K23" s="504"/>
      <c r="L23" s="504"/>
      <c r="M23" s="505"/>
      <c r="N23" s="506"/>
      <c r="O23" s="507"/>
      <c r="P23" s="508"/>
      <c r="Q23" s="508"/>
      <c r="R23" s="509"/>
      <c r="S23" s="529"/>
      <c r="T23" s="511"/>
      <c r="U23" s="510"/>
      <c r="V23" s="511"/>
      <c r="W23" s="512"/>
      <c r="X23" s="507"/>
      <c r="Y23" s="513"/>
      <c r="Z23" s="514"/>
      <c r="AA23" s="501"/>
      <c r="AB23" s="505"/>
      <c r="AC23" s="504"/>
      <c r="AD23" s="505"/>
      <c r="AE23" s="504"/>
      <c r="AF23" s="504"/>
      <c r="AG23" s="512" t="s">
        <v>1138</v>
      </c>
      <c r="AH23" s="504"/>
      <c r="AI23" s="512"/>
      <c r="AJ23" s="504"/>
      <c r="AK23" s="504"/>
      <c r="AL23" s="530"/>
      <c r="AM23" s="514"/>
      <c r="AN23" s="504"/>
      <c r="AO23" s="517"/>
      <c r="AP23" s="519"/>
      <c r="AQ23" s="518"/>
      <c r="AR23" s="519"/>
      <c r="AS23" s="518"/>
      <c r="AT23" s="518"/>
      <c r="AU23" s="519"/>
      <c r="AV23" s="518"/>
      <c r="AW23" s="518"/>
      <c r="AX23" s="519"/>
      <c r="AY23" s="518"/>
      <c r="AZ23" s="518"/>
      <c r="BA23" s="520"/>
      <c r="BB23" s="520"/>
      <c r="BC23" s="520"/>
      <c r="BD23" s="520"/>
      <c r="BE23" s="519"/>
      <c r="BF23" s="612"/>
      <c r="BG23" s="612"/>
      <c r="BH23" s="612"/>
      <c r="BI23" s="612"/>
      <c r="BJ23" s="521"/>
      <c r="BK23" s="522"/>
      <c r="BL23" s="523"/>
      <c r="BM23" s="519"/>
      <c r="BN23" s="524"/>
      <c r="BO23" s="525"/>
      <c r="BP23" s="526"/>
      <c r="BQ23" s="523"/>
      <c r="BR23" s="523"/>
      <c r="BS23" s="504"/>
      <c r="BT23" s="521"/>
      <c r="BU23" s="507"/>
      <c r="BV23" s="531"/>
      <c r="BW23" s="527"/>
      <c r="BX23" s="528"/>
    </row>
    <row r="24" spans="1:76" s="554" customFormat="1" ht="15.5" x14ac:dyDescent="0.25">
      <c r="A24" s="532"/>
      <c r="B24" s="533"/>
      <c r="C24" s="534"/>
      <c r="D24" s="534"/>
      <c r="E24" s="534"/>
      <c r="F24" s="534"/>
      <c r="G24" s="534"/>
      <c r="H24" s="534"/>
      <c r="I24" s="534"/>
      <c r="J24" s="535"/>
      <c r="K24" s="516"/>
      <c r="L24" s="516"/>
      <c r="M24" s="515"/>
      <c r="N24" s="536"/>
      <c r="O24" s="537"/>
      <c r="P24" s="538"/>
      <c r="Q24" s="538"/>
      <c r="R24" s="539"/>
      <c r="S24" s="540"/>
      <c r="T24" s="541"/>
      <c r="U24" s="540"/>
      <c r="V24" s="541"/>
      <c r="W24" s="542"/>
      <c r="X24" s="537"/>
      <c r="Y24" s="537"/>
      <c r="Z24" s="516"/>
      <c r="AA24" s="533"/>
      <c r="AB24" s="515"/>
      <c r="AC24" s="516"/>
      <c r="AD24" s="515"/>
      <c r="AE24" s="516"/>
      <c r="AF24" s="516"/>
      <c r="AG24" s="542"/>
      <c r="AH24" s="516" t="s">
        <v>1135</v>
      </c>
      <c r="AI24" s="542" t="s">
        <v>1136</v>
      </c>
      <c r="AJ24" s="516" t="s">
        <v>1137</v>
      </c>
      <c r="AK24" s="516"/>
      <c r="AL24" s="543"/>
      <c r="AM24" s="516"/>
      <c r="AN24" s="516"/>
      <c r="AO24" s="544"/>
      <c r="AP24" s="545"/>
      <c r="AQ24" s="545"/>
      <c r="AR24" s="545"/>
      <c r="AS24" s="545"/>
      <c r="AT24" s="545"/>
      <c r="AU24" s="545"/>
      <c r="AV24" s="545"/>
      <c r="AW24" s="545"/>
      <c r="AX24" s="545"/>
      <c r="AY24" s="545"/>
      <c r="AZ24" s="545"/>
      <c r="BA24" s="546"/>
      <c r="BB24" s="546"/>
      <c r="BC24" s="546"/>
      <c r="BD24" s="546"/>
      <c r="BE24" s="545"/>
      <c r="BF24" s="546"/>
      <c r="BG24" s="546"/>
      <c r="BH24" s="546"/>
      <c r="BI24" s="546"/>
      <c r="BJ24" s="547"/>
      <c r="BK24" s="548"/>
      <c r="BL24" s="549"/>
      <c r="BM24" s="545"/>
      <c r="BN24" s="550"/>
      <c r="BO24" s="551"/>
      <c r="BP24" s="552"/>
      <c r="BQ24" s="549"/>
      <c r="BR24" s="549"/>
      <c r="BS24" s="516"/>
      <c r="BT24" s="547"/>
      <c r="BU24" s="537"/>
      <c r="BV24" s="553"/>
    </row>
    <row r="25" spans="1:76" s="20" customFormat="1" ht="108.5" x14ac:dyDescent="0.25">
      <c r="A25" s="431">
        <v>6</v>
      </c>
      <c r="B25" s="145">
        <f t="shared" ref="B25:B65" si="23">+BT25</f>
        <v>44.42</v>
      </c>
      <c r="C25" s="416" t="s">
        <v>941</v>
      </c>
      <c r="D25" s="416" t="s">
        <v>1124</v>
      </c>
      <c r="E25" s="416" t="s">
        <v>928</v>
      </c>
      <c r="F25" s="416" t="s">
        <v>1191</v>
      </c>
      <c r="G25" s="416"/>
      <c r="H25" s="416"/>
      <c r="I25" s="416"/>
      <c r="J25" s="161"/>
      <c r="K25" s="51">
        <f>'Calculator Impact  2025'!O24</f>
        <v>997</v>
      </c>
      <c r="L25" s="51">
        <f>'Calculator Impact  2025'!E24</f>
        <v>53120</v>
      </c>
      <c r="M25" s="433">
        <f>'Calculator Impact  2025'!P24</f>
        <v>1.8800000000000001E-2</v>
      </c>
      <c r="N25" s="200">
        <v>45717</v>
      </c>
      <c r="O25" s="33">
        <v>8</v>
      </c>
      <c r="P25" s="61" t="s">
        <v>26</v>
      </c>
      <c r="Q25" s="61" t="s">
        <v>26</v>
      </c>
      <c r="R25" s="15">
        <v>4830000</v>
      </c>
      <c r="S25" s="31">
        <v>0</v>
      </c>
      <c r="T25" s="17">
        <f t="shared" ref="T25:T65" si="24">R25-S25</f>
        <v>4830000</v>
      </c>
      <c r="U25" s="16">
        <v>0</v>
      </c>
      <c r="V25" s="420">
        <f t="shared" ref="V25:V65" si="25">IF((T25+U25)&gt;10000000,10000000,(T25+U25))</f>
        <v>4830000</v>
      </c>
      <c r="W25" s="32" t="s">
        <v>26</v>
      </c>
      <c r="X25" s="33" t="s">
        <v>1039</v>
      </c>
      <c r="Y25" s="18">
        <f t="shared" ref="Y25:Y65" si="26">IF(X25="5L",10,IF(X25="5M",16,IF(X25="5H",22,IF(X25="4L",15,IF(X25="4M",21,IF(X25="4H",27,IF(X25="3L",20,IF(X25="3M",26,IF(X25="3H",32,IF(X25="2L",25,IF(X25="2M",31,IF(X25="2H",37,IF(X25="1L",30,IF(X25="1M",36,IF(X25="1H",42,"")))))))))))))))</f>
        <v>27</v>
      </c>
      <c r="Z25" s="37">
        <v>0</v>
      </c>
      <c r="AA25" s="435">
        <f>'Calculator Impact  2025'!$Q$24</f>
        <v>6</v>
      </c>
      <c r="AB25" s="413">
        <f t="shared" ref="AB25:AB65" si="27">ROUND(IF($AA25&gt;=10,1,IF($AA25&gt;=7,$AA25*$AA25/100,0)),4)</f>
        <v>0</v>
      </c>
      <c r="AC25" s="414">
        <f t="shared" ref="AC25:AC32" si="28">ROUND(IF(AB25*T25&gt;=1000000,1000000,AB25*T25),0)</f>
        <v>0</v>
      </c>
      <c r="AD25" s="413">
        <f t="shared" ref="AD25:AD65" si="29">ROUND(IF($AA25&gt;=10,1,IF($AA25&gt;=6,$AA25*$AA25/100,0)),4)</f>
        <v>0.36</v>
      </c>
      <c r="AE25" s="414">
        <v>0</v>
      </c>
      <c r="AF25" s="414">
        <v>0</v>
      </c>
      <c r="AG25" s="383" t="s">
        <v>27</v>
      </c>
      <c r="AH25" s="385">
        <v>0</v>
      </c>
      <c r="AI25" s="383" t="s">
        <v>27</v>
      </c>
      <c r="AJ25" s="385">
        <f t="shared" ref="AJ25:AJ48" si="30">IF(AI25="Yes",25000,0)</f>
        <v>0</v>
      </c>
      <c r="AK25" s="385">
        <f>Z25+AJ25</f>
        <v>0</v>
      </c>
      <c r="AL25" s="387"/>
      <c r="AM25" s="379">
        <f t="shared" ref="AM25:AM37" si="31">SUM(AC25+AH25+AJ25+AE25+AK25)</f>
        <v>0</v>
      </c>
      <c r="AN25" s="51">
        <v>0</v>
      </c>
      <c r="AO25" s="29">
        <f t="shared" ref="AO25:AO65" si="32">Z25/R25</f>
        <v>0</v>
      </c>
      <c r="AP25" s="443" t="s">
        <v>1036</v>
      </c>
      <c r="AQ25" s="443"/>
      <c r="AR25" s="444">
        <f t="shared" ref="AR25:AR65" si="33">IF(AP25&lt;&gt;0,$AP$5,IF(AQ25&lt;&gt;0,$AQ$5,0))</f>
        <v>20</v>
      </c>
      <c r="AS25" s="439"/>
      <c r="AT25" s="439" t="s">
        <v>1036</v>
      </c>
      <c r="AU25" s="439"/>
      <c r="AV25" s="439"/>
      <c r="AW25" s="439"/>
      <c r="AX25" s="440">
        <f t="shared" ref="AX25:AX65" si="34">IF(AS25&lt;&gt;0,$AS$5,IF(AT25&lt;&gt;0,$AT$5,IF(AU25&lt;&gt;0,$AU$5,IF(AV25&lt;&gt;0,$AV$5,IF(AW25&lt;&gt;0,$AW$5,0)))))</f>
        <v>10</v>
      </c>
      <c r="AY25" s="34"/>
      <c r="AZ25" s="34"/>
      <c r="BA25" s="447"/>
      <c r="BB25" s="447"/>
      <c r="BC25" s="447"/>
      <c r="BD25" s="447"/>
      <c r="BE25" s="448">
        <f t="shared" ref="BE25:BE65" si="35">IF(BA25&lt;&gt;0,$BA$5,IF(BB25&lt;&gt;0,$BB$5,IF(BC25&lt;&gt;0,$BC$5,IF(BD25&lt;&gt;0,$BD$5,0))))</f>
        <v>0</v>
      </c>
      <c r="BF25" s="611"/>
      <c r="BG25" s="611"/>
      <c r="BH25" s="611"/>
      <c r="BI25" s="611"/>
      <c r="BJ25" s="451">
        <f t="shared" ref="BJ25:BJ65" si="36">AO25*$AO$5*Y25</f>
        <v>0</v>
      </c>
      <c r="BK25" s="452">
        <f t="shared" ref="BK25:BK65" si="37">(AR25*Y25)/100</f>
        <v>5.4</v>
      </c>
      <c r="BL25" s="453">
        <f t="shared" ref="BL25:BL65" si="38">(AX25*Y25)/100</f>
        <v>2.7</v>
      </c>
      <c r="BM25" s="437">
        <f t="shared" ref="BM25:BM65" si="39">IF(AY25&lt;&gt;0,($AY$5*Y25)/100,0)</f>
        <v>0</v>
      </c>
      <c r="BN25" s="454">
        <f t="shared" ref="BN25:BN65" si="40">IF(AZ25&lt;&gt;0,($AZ$5*Y25)/100,0)</f>
        <v>0</v>
      </c>
      <c r="BO25" s="455">
        <f t="shared" ref="BO25:BO65" si="41">((O25*$BO$5)*Y25)/100</f>
        <v>4.32</v>
      </c>
      <c r="BP25" s="456">
        <f t="shared" ref="BP25:BP65" si="42">IF(Q25="Yes",$BP$5, 0)</f>
        <v>5</v>
      </c>
      <c r="BQ25" s="453">
        <f t="shared" ref="BQ25:BQ65" si="43">(BE25*Y25)/100</f>
        <v>0</v>
      </c>
      <c r="BR25" s="453"/>
      <c r="BS25" s="13">
        <f t="shared" ref="BS25:BS65" si="44">AM25+AN25</f>
        <v>0</v>
      </c>
      <c r="BT25" s="451">
        <f t="shared" ref="BT25:BT65" si="45">SUM(BJ25:BQ25)+Y25</f>
        <v>44.42</v>
      </c>
      <c r="BU25" s="33"/>
    </row>
    <row r="26" spans="1:76" s="20" customFormat="1" ht="31" x14ac:dyDescent="0.25">
      <c r="A26" s="430">
        <v>8</v>
      </c>
      <c r="B26" s="145">
        <f t="shared" si="23"/>
        <v>45.5</v>
      </c>
      <c r="C26" s="416" t="s">
        <v>943</v>
      </c>
      <c r="D26" s="416" t="s">
        <v>1019</v>
      </c>
      <c r="E26" s="416" t="s">
        <v>928</v>
      </c>
      <c r="F26" s="416" t="s">
        <v>944</v>
      </c>
      <c r="G26" s="416"/>
      <c r="H26" s="416"/>
      <c r="I26" s="416"/>
      <c r="J26" s="161"/>
      <c r="K26" s="51">
        <f>'Calculator Impact  2025'!O28</f>
        <v>903</v>
      </c>
      <c r="L26" s="51">
        <f>'Calculator Impact  2025'!E28</f>
        <v>55870</v>
      </c>
      <c r="M26" s="433">
        <f>'Calculator Impact  2025'!P28</f>
        <v>1.6199999999999999E-2</v>
      </c>
      <c r="N26" s="200">
        <v>45809</v>
      </c>
      <c r="O26" s="33">
        <v>5</v>
      </c>
      <c r="P26" s="61" t="s">
        <v>26</v>
      </c>
      <c r="Q26" s="61" t="s">
        <v>26</v>
      </c>
      <c r="R26" s="15">
        <v>1900000</v>
      </c>
      <c r="S26" s="31">
        <v>1140000</v>
      </c>
      <c r="T26" s="17">
        <f t="shared" si="24"/>
        <v>760000</v>
      </c>
      <c r="U26" s="16">
        <v>0</v>
      </c>
      <c r="V26" s="420">
        <f t="shared" si="25"/>
        <v>760000</v>
      </c>
      <c r="W26" s="32" t="s">
        <v>26</v>
      </c>
      <c r="X26" s="33" t="s">
        <v>1039</v>
      </c>
      <c r="Y26" s="18">
        <f t="shared" si="26"/>
        <v>27</v>
      </c>
      <c r="Z26" s="37">
        <v>0</v>
      </c>
      <c r="AA26" s="435">
        <f>'Calculator Impact  2025'!$Q$28</f>
        <v>5.91</v>
      </c>
      <c r="AB26" s="413">
        <f t="shared" si="27"/>
        <v>0</v>
      </c>
      <c r="AC26" s="414">
        <f t="shared" si="28"/>
        <v>0</v>
      </c>
      <c r="AD26" s="413">
        <f t="shared" si="29"/>
        <v>0</v>
      </c>
      <c r="AE26" s="414">
        <f>ROUND(IF(AD26*V26&gt;=1000000,1000000,AD26*V26),0)</f>
        <v>0</v>
      </c>
      <c r="AF26" s="414">
        <v>0</v>
      </c>
      <c r="AG26" s="383" t="s">
        <v>27</v>
      </c>
      <c r="AH26" s="385">
        <v>0</v>
      </c>
      <c r="AI26" s="383" t="s">
        <v>27</v>
      </c>
      <c r="AJ26" s="385">
        <f t="shared" si="30"/>
        <v>0</v>
      </c>
      <c r="AK26" s="385">
        <f>Z26+AJ26</f>
        <v>0</v>
      </c>
      <c r="AL26" s="386"/>
      <c r="AM26" s="379">
        <f t="shared" si="31"/>
        <v>0</v>
      </c>
      <c r="AN26" s="51">
        <v>0</v>
      </c>
      <c r="AO26" s="29">
        <f t="shared" si="32"/>
        <v>0</v>
      </c>
      <c r="AP26" s="443"/>
      <c r="AQ26" s="443" t="s">
        <v>1036</v>
      </c>
      <c r="AR26" s="444">
        <f t="shared" si="33"/>
        <v>10</v>
      </c>
      <c r="AS26" s="439"/>
      <c r="AT26" s="439" t="s">
        <v>1036</v>
      </c>
      <c r="AU26" s="440"/>
      <c r="AV26" s="439"/>
      <c r="AW26" s="439"/>
      <c r="AX26" s="440">
        <f t="shared" si="34"/>
        <v>10</v>
      </c>
      <c r="AY26" s="34"/>
      <c r="AZ26" s="34" t="s">
        <v>1036</v>
      </c>
      <c r="BA26" s="447"/>
      <c r="BB26" s="447"/>
      <c r="BC26" s="447"/>
      <c r="BD26" s="447"/>
      <c r="BE26" s="448">
        <f t="shared" si="35"/>
        <v>0</v>
      </c>
      <c r="BF26" s="611"/>
      <c r="BG26" s="611"/>
      <c r="BH26" s="611"/>
      <c r="BI26" s="611"/>
      <c r="BJ26" s="451">
        <f t="shared" si="36"/>
        <v>0</v>
      </c>
      <c r="BK26" s="452">
        <f t="shared" si="37"/>
        <v>2.7</v>
      </c>
      <c r="BL26" s="453">
        <f t="shared" si="38"/>
        <v>2.7</v>
      </c>
      <c r="BM26" s="437">
        <f t="shared" si="39"/>
        <v>0</v>
      </c>
      <c r="BN26" s="454">
        <f t="shared" si="40"/>
        <v>5.4</v>
      </c>
      <c r="BO26" s="455">
        <f t="shared" si="41"/>
        <v>2.7</v>
      </c>
      <c r="BP26" s="456">
        <f t="shared" si="42"/>
        <v>5</v>
      </c>
      <c r="BQ26" s="453">
        <f t="shared" si="43"/>
        <v>0</v>
      </c>
      <c r="BR26" s="453"/>
      <c r="BS26" s="13">
        <f t="shared" si="44"/>
        <v>0</v>
      </c>
      <c r="BT26" s="451">
        <f t="shared" si="45"/>
        <v>45.5</v>
      </c>
      <c r="BU26" s="33"/>
    </row>
    <row r="27" spans="1:76" s="20" customFormat="1" ht="89.25" customHeight="1" x14ac:dyDescent="0.25">
      <c r="A27" s="112">
        <v>38</v>
      </c>
      <c r="B27" s="21">
        <f t="shared" si="23"/>
        <v>43.032244897959188</v>
      </c>
      <c r="C27" s="12" t="s">
        <v>979</v>
      </c>
      <c r="D27" s="668" t="s">
        <v>1055</v>
      </c>
      <c r="E27" s="416" t="s">
        <v>929</v>
      </c>
      <c r="F27" s="416" t="s">
        <v>1192</v>
      </c>
      <c r="G27" s="416"/>
      <c r="H27" s="416"/>
      <c r="I27" s="416"/>
      <c r="J27" s="161"/>
      <c r="K27" s="51">
        <f>'Calculator Impact  2025'!O118</f>
        <v>1153</v>
      </c>
      <c r="L27" s="51">
        <f>'Calculator Impact  2025'!E118</f>
        <v>55766</v>
      </c>
      <c r="M27" s="433">
        <f>'Calculator Impact  2025'!P118</f>
        <v>2.07E-2</v>
      </c>
      <c r="N27" s="200">
        <v>45566</v>
      </c>
      <c r="O27" s="33">
        <v>13</v>
      </c>
      <c r="P27" s="61" t="s">
        <v>26</v>
      </c>
      <c r="Q27" s="61" t="s">
        <v>26</v>
      </c>
      <c r="R27" s="15">
        <v>10780000</v>
      </c>
      <c r="S27" s="31">
        <v>0</v>
      </c>
      <c r="T27" s="17">
        <f t="shared" si="24"/>
        <v>10780000</v>
      </c>
      <c r="U27" s="16">
        <v>0</v>
      </c>
      <c r="V27" s="463">
        <f t="shared" si="25"/>
        <v>10000000</v>
      </c>
      <c r="W27" s="32" t="s">
        <v>26</v>
      </c>
      <c r="X27" s="33" t="s">
        <v>1044</v>
      </c>
      <c r="Y27" s="18">
        <f t="shared" si="26"/>
        <v>22</v>
      </c>
      <c r="Z27" s="37">
        <v>6400000</v>
      </c>
      <c r="AA27" s="435">
        <f>'Calculator Impact  2025'!$Q$118</f>
        <v>6.18</v>
      </c>
      <c r="AB27" s="413">
        <f t="shared" si="27"/>
        <v>0</v>
      </c>
      <c r="AC27" s="414">
        <f t="shared" si="28"/>
        <v>0</v>
      </c>
      <c r="AD27" s="413">
        <f t="shared" si="29"/>
        <v>0.38190000000000002</v>
      </c>
      <c r="AE27" s="414">
        <v>0</v>
      </c>
      <c r="AF27" s="414">
        <v>0</v>
      </c>
      <c r="AG27" s="383" t="s">
        <v>27</v>
      </c>
      <c r="AH27" s="385">
        <v>0</v>
      </c>
      <c r="AI27" s="383" t="s">
        <v>27</v>
      </c>
      <c r="AJ27" s="385">
        <f t="shared" si="30"/>
        <v>0</v>
      </c>
      <c r="AK27" s="385">
        <v>0</v>
      </c>
      <c r="AL27" s="387"/>
      <c r="AM27" s="379">
        <f t="shared" si="31"/>
        <v>0</v>
      </c>
      <c r="AN27" s="51">
        <v>0</v>
      </c>
      <c r="AO27" s="29">
        <f t="shared" si="32"/>
        <v>0.59369202226345086</v>
      </c>
      <c r="AP27" s="443"/>
      <c r="AQ27" s="443"/>
      <c r="AR27" s="444">
        <f t="shared" si="33"/>
        <v>0</v>
      </c>
      <c r="AS27" s="439"/>
      <c r="AT27" s="439" t="s">
        <v>1036</v>
      </c>
      <c r="AU27" s="439"/>
      <c r="AV27" s="440"/>
      <c r="AW27" s="439"/>
      <c r="AX27" s="440">
        <f t="shared" si="34"/>
        <v>10</v>
      </c>
      <c r="AY27" s="34"/>
      <c r="AZ27" s="34" t="s">
        <v>1036</v>
      </c>
      <c r="BA27" s="447" t="s">
        <v>1036</v>
      </c>
      <c r="BB27" s="447"/>
      <c r="BC27" s="447"/>
      <c r="BD27" s="447"/>
      <c r="BE27" s="448">
        <f t="shared" si="35"/>
        <v>5</v>
      </c>
      <c r="BF27" s="611"/>
      <c r="BG27" s="611"/>
      <c r="BH27" s="611"/>
      <c r="BI27" s="611"/>
      <c r="BJ27" s="451">
        <f t="shared" si="36"/>
        <v>2.6122448979591839</v>
      </c>
      <c r="BK27" s="452">
        <f t="shared" si="37"/>
        <v>0</v>
      </c>
      <c r="BL27" s="453">
        <f t="shared" si="38"/>
        <v>2.2000000000000002</v>
      </c>
      <c r="BM27" s="437">
        <f t="shared" si="39"/>
        <v>0</v>
      </c>
      <c r="BN27" s="454">
        <f t="shared" si="40"/>
        <v>4.4000000000000004</v>
      </c>
      <c r="BO27" s="455">
        <f t="shared" si="41"/>
        <v>5.72</v>
      </c>
      <c r="BP27" s="456">
        <f t="shared" si="42"/>
        <v>5</v>
      </c>
      <c r="BQ27" s="453">
        <f t="shared" si="43"/>
        <v>1.1000000000000001</v>
      </c>
      <c r="BR27" s="453"/>
      <c r="BS27" s="13">
        <f t="shared" si="44"/>
        <v>0</v>
      </c>
      <c r="BT27" s="451">
        <f t="shared" si="45"/>
        <v>43.032244897959188</v>
      </c>
      <c r="BU27" s="33"/>
    </row>
    <row r="28" spans="1:76" s="20" customFormat="1" ht="62.5" x14ac:dyDescent="0.25">
      <c r="A28" s="471">
        <v>47</v>
      </c>
      <c r="B28" s="472">
        <f t="shared" si="23"/>
        <v>47.315126050420169</v>
      </c>
      <c r="C28" s="473" t="s">
        <v>987</v>
      </c>
      <c r="D28" s="473" t="s">
        <v>1092</v>
      </c>
      <c r="E28" s="416" t="s">
        <v>927</v>
      </c>
      <c r="F28" s="416" t="s">
        <v>1193</v>
      </c>
      <c r="G28" s="416"/>
      <c r="H28" s="416"/>
      <c r="I28" s="416"/>
      <c r="J28" s="161"/>
      <c r="K28" s="51">
        <f>'Calculator Impact  2025'!O136</f>
        <v>781</v>
      </c>
      <c r="L28" s="51">
        <f>'Calculator Impact  2025'!E136</f>
        <v>46200</v>
      </c>
      <c r="M28" s="433">
        <f>'Calculator Impact  2025'!P136</f>
        <v>1.6899999999999998E-2</v>
      </c>
      <c r="N28" s="200">
        <v>45992</v>
      </c>
      <c r="O28" s="33">
        <v>0</v>
      </c>
      <c r="P28" s="61" t="s">
        <v>26</v>
      </c>
      <c r="Q28" s="61" t="s">
        <v>26</v>
      </c>
      <c r="R28" s="15">
        <v>23800000</v>
      </c>
      <c r="S28" s="31">
        <v>17800000</v>
      </c>
      <c r="T28" s="17">
        <f t="shared" si="24"/>
        <v>6000000</v>
      </c>
      <c r="U28" s="16">
        <v>5000</v>
      </c>
      <c r="V28" s="17">
        <f t="shared" si="25"/>
        <v>6005000</v>
      </c>
      <c r="W28" s="32" t="s">
        <v>26</v>
      </c>
      <c r="X28" s="33" t="s">
        <v>1039</v>
      </c>
      <c r="Y28" s="18">
        <f t="shared" si="26"/>
        <v>27</v>
      </c>
      <c r="Z28" s="37">
        <v>8000000</v>
      </c>
      <c r="AA28" s="435">
        <f>'Calculator Impact  2025'!$Q$136</f>
        <v>6.4</v>
      </c>
      <c r="AB28" s="413">
        <f t="shared" si="27"/>
        <v>0</v>
      </c>
      <c r="AC28" s="414">
        <f t="shared" si="28"/>
        <v>0</v>
      </c>
      <c r="AD28" s="413">
        <f t="shared" si="29"/>
        <v>0.40960000000000002</v>
      </c>
      <c r="AE28" s="414">
        <v>0</v>
      </c>
      <c r="AF28" s="414">
        <v>0</v>
      </c>
      <c r="AG28" s="383" t="s">
        <v>26</v>
      </c>
      <c r="AH28" s="385">
        <v>0</v>
      </c>
      <c r="AI28" s="383" t="s">
        <v>27</v>
      </c>
      <c r="AJ28" s="385">
        <f t="shared" si="30"/>
        <v>0</v>
      </c>
      <c r="AK28" s="385">
        <v>0</v>
      </c>
      <c r="AL28" s="387"/>
      <c r="AM28" s="379">
        <f t="shared" si="31"/>
        <v>0</v>
      </c>
      <c r="AN28" s="51">
        <v>0</v>
      </c>
      <c r="AO28" s="29">
        <f t="shared" si="32"/>
        <v>0.33613445378151263</v>
      </c>
      <c r="AP28" s="443" t="s">
        <v>1036</v>
      </c>
      <c r="AQ28" s="443"/>
      <c r="AR28" s="444">
        <f t="shared" si="33"/>
        <v>20</v>
      </c>
      <c r="AS28" s="439"/>
      <c r="AT28" s="439" t="s">
        <v>1036</v>
      </c>
      <c r="AU28" s="439"/>
      <c r="AV28" s="440"/>
      <c r="AW28" s="439"/>
      <c r="AX28" s="440">
        <f t="shared" si="34"/>
        <v>10</v>
      </c>
      <c r="AY28" s="34"/>
      <c r="AZ28" s="34" t="s">
        <v>1036</v>
      </c>
      <c r="BA28" s="447"/>
      <c r="BB28" s="447"/>
      <c r="BC28" s="447"/>
      <c r="BD28" s="447"/>
      <c r="BE28" s="448">
        <f t="shared" si="35"/>
        <v>0</v>
      </c>
      <c r="BF28" s="611"/>
      <c r="BG28" s="611"/>
      <c r="BH28" s="611"/>
      <c r="BI28" s="611"/>
      <c r="BJ28" s="451">
        <f t="shared" si="36"/>
        <v>1.8151260504201683</v>
      </c>
      <c r="BK28" s="452">
        <f t="shared" si="37"/>
        <v>5.4</v>
      </c>
      <c r="BL28" s="453">
        <f t="shared" si="38"/>
        <v>2.7</v>
      </c>
      <c r="BM28" s="437">
        <f t="shared" si="39"/>
        <v>0</v>
      </c>
      <c r="BN28" s="454">
        <f t="shared" si="40"/>
        <v>5.4</v>
      </c>
      <c r="BO28" s="455">
        <f t="shared" si="41"/>
        <v>0</v>
      </c>
      <c r="BP28" s="456">
        <f t="shared" si="42"/>
        <v>5</v>
      </c>
      <c r="BQ28" s="453">
        <f t="shared" si="43"/>
        <v>0</v>
      </c>
      <c r="BR28" s="453"/>
      <c r="BS28" s="13">
        <f t="shared" si="44"/>
        <v>0</v>
      </c>
      <c r="BT28" s="451">
        <f t="shared" si="45"/>
        <v>47.315126050420169</v>
      </c>
      <c r="BU28" s="33"/>
      <c r="BV28" s="107" t="s">
        <v>1093</v>
      </c>
      <c r="BW28" s="107" t="s">
        <v>1073</v>
      </c>
    </row>
    <row r="29" spans="1:76" s="20" customFormat="1" ht="96" customHeight="1" x14ac:dyDescent="0.25">
      <c r="A29" s="555">
        <v>41</v>
      </c>
      <c r="B29" s="556">
        <f t="shared" si="23"/>
        <v>43.94</v>
      </c>
      <c r="C29" s="557" t="s">
        <v>982</v>
      </c>
      <c r="D29" s="557" t="s">
        <v>1058</v>
      </c>
      <c r="E29" s="557" t="s">
        <v>932</v>
      </c>
      <c r="F29" s="557" t="s">
        <v>1194</v>
      </c>
      <c r="G29" s="557"/>
      <c r="H29" s="416"/>
      <c r="I29" s="416"/>
      <c r="J29" s="161"/>
      <c r="K29" s="51">
        <f>'Calculator Impact  2025'!O128</f>
        <v>1935</v>
      </c>
      <c r="L29" s="51">
        <f>'Calculator Impact  2025'!E128</f>
        <v>71498</v>
      </c>
      <c r="M29" s="433">
        <f>'Calculator Impact  2025'!P128</f>
        <v>2.7099999999999999E-2</v>
      </c>
      <c r="N29" s="200">
        <v>45778</v>
      </c>
      <c r="O29" s="33">
        <v>6</v>
      </c>
      <c r="P29" s="61" t="s">
        <v>26</v>
      </c>
      <c r="Q29" s="61" t="s">
        <v>26</v>
      </c>
      <c r="R29" s="15">
        <v>19950000</v>
      </c>
      <c r="S29" s="31">
        <v>375000</v>
      </c>
      <c r="T29" s="17">
        <f t="shared" si="24"/>
        <v>19575000</v>
      </c>
      <c r="U29" s="16">
        <v>50000</v>
      </c>
      <c r="V29" s="463">
        <f t="shared" si="25"/>
        <v>10000000</v>
      </c>
      <c r="W29" s="32" t="s">
        <v>26</v>
      </c>
      <c r="X29" s="33" t="s">
        <v>1044</v>
      </c>
      <c r="Y29" s="18">
        <f t="shared" si="26"/>
        <v>22</v>
      </c>
      <c r="Z29" s="37">
        <v>0</v>
      </c>
      <c r="AA29" s="435">
        <f>'Calculator Impact  2025'!$Q$128</f>
        <v>6.77</v>
      </c>
      <c r="AB29" s="413">
        <f t="shared" si="27"/>
        <v>0</v>
      </c>
      <c r="AC29" s="414">
        <f t="shared" si="28"/>
        <v>0</v>
      </c>
      <c r="AD29" s="413">
        <f t="shared" si="29"/>
        <v>0.45829999999999999</v>
      </c>
      <c r="AE29" s="414">
        <v>0</v>
      </c>
      <c r="AF29" s="414">
        <v>526720</v>
      </c>
      <c r="AG29" s="383" t="s">
        <v>27</v>
      </c>
      <c r="AH29" s="385">
        <v>0</v>
      </c>
      <c r="AI29" s="383"/>
      <c r="AJ29" s="385">
        <f t="shared" si="30"/>
        <v>0</v>
      </c>
      <c r="AK29" s="385">
        <f>Z29+AJ29</f>
        <v>0</v>
      </c>
      <c r="AL29" s="386"/>
      <c r="AM29" s="379">
        <f t="shared" si="31"/>
        <v>0</v>
      </c>
      <c r="AN29" s="51">
        <v>0</v>
      </c>
      <c r="AO29" s="29">
        <f t="shared" si="32"/>
        <v>0</v>
      </c>
      <c r="AP29" s="443" t="s">
        <v>1036</v>
      </c>
      <c r="AQ29" s="443"/>
      <c r="AR29" s="444">
        <f t="shared" si="33"/>
        <v>20</v>
      </c>
      <c r="AS29" s="439"/>
      <c r="AT29" s="439" t="s">
        <v>1036</v>
      </c>
      <c r="AU29" s="440"/>
      <c r="AV29" s="440"/>
      <c r="AW29" s="439"/>
      <c r="AX29" s="440">
        <f t="shared" si="34"/>
        <v>10</v>
      </c>
      <c r="AY29" s="34" t="s">
        <v>1036</v>
      </c>
      <c r="AZ29" s="34" t="s">
        <v>1036</v>
      </c>
      <c r="BA29" s="447"/>
      <c r="BB29" s="447"/>
      <c r="BC29" s="447"/>
      <c r="BD29" s="447"/>
      <c r="BE29" s="448">
        <f t="shared" si="35"/>
        <v>0</v>
      </c>
      <c r="BF29" s="611"/>
      <c r="BG29" s="611"/>
      <c r="BH29" s="611"/>
      <c r="BI29" s="611"/>
      <c r="BJ29" s="451">
        <f t="shared" si="36"/>
        <v>0</v>
      </c>
      <c r="BK29" s="452">
        <f t="shared" si="37"/>
        <v>4.4000000000000004</v>
      </c>
      <c r="BL29" s="453">
        <f t="shared" si="38"/>
        <v>2.2000000000000002</v>
      </c>
      <c r="BM29" s="437">
        <f t="shared" si="39"/>
        <v>3.3</v>
      </c>
      <c r="BN29" s="454">
        <f t="shared" si="40"/>
        <v>4.4000000000000004</v>
      </c>
      <c r="BO29" s="455">
        <f t="shared" si="41"/>
        <v>2.64</v>
      </c>
      <c r="BP29" s="456">
        <f t="shared" si="42"/>
        <v>5</v>
      </c>
      <c r="BQ29" s="453">
        <f t="shared" si="43"/>
        <v>0</v>
      </c>
      <c r="BR29" s="453"/>
      <c r="BS29" s="13">
        <f t="shared" si="44"/>
        <v>0</v>
      </c>
      <c r="BT29" s="451">
        <f t="shared" si="45"/>
        <v>43.94</v>
      </c>
      <c r="BU29" s="33"/>
    </row>
    <row r="30" spans="1:76" s="20" customFormat="1" ht="46.5" x14ac:dyDescent="0.25">
      <c r="A30" s="431">
        <v>19</v>
      </c>
      <c r="B30" s="145">
        <f t="shared" si="23"/>
        <v>44.42</v>
      </c>
      <c r="C30" s="416" t="s">
        <v>1016</v>
      </c>
      <c r="D30" s="416"/>
      <c r="E30" s="416" t="s">
        <v>930</v>
      </c>
      <c r="F30" s="416" t="s">
        <v>1195</v>
      </c>
      <c r="G30" s="416"/>
      <c r="H30" s="416"/>
      <c r="I30" s="416"/>
      <c r="J30" s="161"/>
      <c r="K30" s="51">
        <f>'Calculator Impact  2025'!O72</f>
        <v>735</v>
      </c>
      <c r="L30" s="51">
        <f>'Calculator Impact  2025'!E72</f>
        <v>88548</v>
      </c>
      <c r="M30" s="433">
        <f>'Calculator Impact  2025'!P72</f>
        <v>8.3000000000000001E-3</v>
      </c>
      <c r="N30" s="200">
        <v>45870</v>
      </c>
      <c r="O30" s="33">
        <v>3</v>
      </c>
      <c r="P30" s="61" t="s">
        <v>26</v>
      </c>
      <c r="Q30" s="61" t="s">
        <v>26</v>
      </c>
      <c r="R30" s="15">
        <v>4800000</v>
      </c>
      <c r="S30" s="31">
        <v>2000000</v>
      </c>
      <c r="T30" s="17">
        <f t="shared" si="24"/>
        <v>2800000</v>
      </c>
      <c r="U30" s="16">
        <v>0</v>
      </c>
      <c r="V30" s="420">
        <f t="shared" si="25"/>
        <v>2800000</v>
      </c>
      <c r="W30" s="32" t="s">
        <v>26</v>
      </c>
      <c r="X30" s="33" t="s">
        <v>1039</v>
      </c>
      <c r="Y30" s="18">
        <f t="shared" si="26"/>
        <v>27</v>
      </c>
      <c r="Z30" s="37">
        <v>0</v>
      </c>
      <c r="AA30" s="435">
        <f>'Calculator Impact  2025'!$Q$72</f>
        <v>3.15</v>
      </c>
      <c r="AB30" s="413">
        <f t="shared" si="27"/>
        <v>0</v>
      </c>
      <c r="AC30" s="414">
        <f t="shared" si="28"/>
        <v>0</v>
      </c>
      <c r="AD30" s="413">
        <f t="shared" si="29"/>
        <v>0</v>
      </c>
      <c r="AE30" s="414">
        <f>ROUND(IF(AD30*V30&gt;=1000000,1000000,AD30*V30),0)</f>
        <v>0</v>
      </c>
      <c r="AF30" s="414">
        <v>0</v>
      </c>
      <c r="AG30" s="383" t="s">
        <v>27</v>
      </c>
      <c r="AH30" s="385">
        <v>0</v>
      </c>
      <c r="AI30" s="383" t="s">
        <v>27</v>
      </c>
      <c r="AJ30" s="385">
        <f t="shared" si="30"/>
        <v>0</v>
      </c>
      <c r="AK30" s="385">
        <f>Z30+AJ30</f>
        <v>0</v>
      </c>
      <c r="AL30" s="386"/>
      <c r="AM30" s="379">
        <f t="shared" si="31"/>
        <v>0</v>
      </c>
      <c r="AN30" s="51">
        <v>0</v>
      </c>
      <c r="AO30" s="29">
        <f t="shared" si="32"/>
        <v>0</v>
      </c>
      <c r="AP30" s="443"/>
      <c r="AQ30" s="443" t="s">
        <v>1036</v>
      </c>
      <c r="AR30" s="444">
        <f t="shared" si="33"/>
        <v>10</v>
      </c>
      <c r="AS30" s="439"/>
      <c r="AT30" s="439" t="s">
        <v>1036</v>
      </c>
      <c r="AU30" s="440"/>
      <c r="AV30" s="440"/>
      <c r="AW30" s="439"/>
      <c r="AX30" s="440">
        <f t="shared" si="34"/>
        <v>10</v>
      </c>
      <c r="AY30" s="34"/>
      <c r="AZ30" s="34" t="s">
        <v>1036</v>
      </c>
      <c r="BA30" s="447"/>
      <c r="BB30" s="447"/>
      <c r="BC30" s="447"/>
      <c r="BD30" s="447"/>
      <c r="BE30" s="448">
        <f t="shared" si="35"/>
        <v>0</v>
      </c>
      <c r="BF30" s="611"/>
      <c r="BG30" s="611"/>
      <c r="BH30" s="611"/>
      <c r="BI30" s="611"/>
      <c r="BJ30" s="451">
        <f t="shared" si="36"/>
        <v>0</v>
      </c>
      <c r="BK30" s="452">
        <f t="shared" si="37"/>
        <v>2.7</v>
      </c>
      <c r="BL30" s="453">
        <f t="shared" si="38"/>
        <v>2.7</v>
      </c>
      <c r="BM30" s="437">
        <f t="shared" si="39"/>
        <v>0</v>
      </c>
      <c r="BN30" s="454">
        <f t="shared" si="40"/>
        <v>5.4</v>
      </c>
      <c r="BO30" s="455">
        <f t="shared" si="41"/>
        <v>1.62</v>
      </c>
      <c r="BP30" s="456">
        <f t="shared" si="42"/>
        <v>5</v>
      </c>
      <c r="BQ30" s="453">
        <f t="shared" si="43"/>
        <v>0</v>
      </c>
      <c r="BR30" s="453"/>
      <c r="BS30" s="13">
        <f t="shared" si="44"/>
        <v>0</v>
      </c>
      <c r="BT30" s="451">
        <f t="shared" si="45"/>
        <v>44.42</v>
      </c>
      <c r="BU30" s="33"/>
    </row>
    <row r="31" spans="1:76" s="20" customFormat="1" ht="62.5" x14ac:dyDescent="0.25">
      <c r="A31" s="469">
        <v>4</v>
      </c>
      <c r="B31" s="472">
        <f t="shared" si="23"/>
        <v>45.5</v>
      </c>
      <c r="C31" s="473" t="s">
        <v>938</v>
      </c>
      <c r="D31" s="473" t="s">
        <v>1038</v>
      </c>
      <c r="E31" s="416" t="s">
        <v>928</v>
      </c>
      <c r="F31" s="416" t="s">
        <v>1196</v>
      </c>
      <c r="G31" s="416"/>
      <c r="H31" s="416"/>
      <c r="I31" s="416"/>
      <c r="J31" s="161"/>
      <c r="K31" s="51">
        <f>'Calculator Impact  2025'!O20</f>
        <v>669</v>
      </c>
      <c r="L31" s="51">
        <f>'Calculator Impact  2025'!E20</f>
        <v>53925</v>
      </c>
      <c r="M31" s="433">
        <f>'Calculator Impact  2025'!P20</f>
        <v>1.24E-2</v>
      </c>
      <c r="N31" s="200">
        <v>46113</v>
      </c>
      <c r="O31" s="33">
        <v>0</v>
      </c>
      <c r="P31" s="61" t="s">
        <v>26</v>
      </c>
      <c r="Q31" s="61" t="s">
        <v>26</v>
      </c>
      <c r="R31" s="15">
        <v>4780000</v>
      </c>
      <c r="S31" s="31">
        <v>1000000</v>
      </c>
      <c r="T31" s="17">
        <f t="shared" si="24"/>
        <v>3780000</v>
      </c>
      <c r="U31" s="16">
        <v>0</v>
      </c>
      <c r="V31" s="420">
        <f t="shared" si="25"/>
        <v>3780000</v>
      </c>
      <c r="W31" s="32" t="s">
        <v>26</v>
      </c>
      <c r="X31" s="33" t="s">
        <v>1039</v>
      </c>
      <c r="Y31" s="18">
        <f t="shared" si="26"/>
        <v>27</v>
      </c>
      <c r="Z31" s="37">
        <v>0</v>
      </c>
      <c r="AA31" s="435">
        <f>'Calculator Impact  2025'!$Q$20</f>
        <v>5.45</v>
      </c>
      <c r="AB31" s="413">
        <f t="shared" si="27"/>
        <v>0</v>
      </c>
      <c r="AC31" s="414">
        <f t="shared" si="28"/>
        <v>0</v>
      </c>
      <c r="AD31" s="413">
        <f t="shared" si="29"/>
        <v>0</v>
      </c>
      <c r="AE31" s="414">
        <f>ROUND(IF(AD31*V31&gt;=1000000,1000000,AD31*V31),0)</f>
        <v>0</v>
      </c>
      <c r="AF31" s="414">
        <v>0</v>
      </c>
      <c r="AG31" s="383" t="s">
        <v>27</v>
      </c>
      <c r="AH31" s="384">
        <v>0</v>
      </c>
      <c r="AI31" s="383" t="s">
        <v>27</v>
      </c>
      <c r="AJ31" s="385">
        <f t="shared" si="30"/>
        <v>0</v>
      </c>
      <c r="AK31" s="385">
        <f>Z31+AJ31</f>
        <v>0</v>
      </c>
      <c r="AL31" s="386"/>
      <c r="AM31" s="379">
        <f t="shared" si="31"/>
        <v>0</v>
      </c>
      <c r="AN31" s="51">
        <v>0</v>
      </c>
      <c r="AO31" s="29">
        <f t="shared" si="32"/>
        <v>0</v>
      </c>
      <c r="AP31" s="443"/>
      <c r="AQ31" s="443" t="s">
        <v>1036</v>
      </c>
      <c r="AR31" s="444">
        <f t="shared" si="33"/>
        <v>10</v>
      </c>
      <c r="AS31" s="439"/>
      <c r="AT31" s="439" t="s">
        <v>1036</v>
      </c>
      <c r="AU31" s="440"/>
      <c r="AV31" s="439"/>
      <c r="AW31" s="439"/>
      <c r="AX31" s="440">
        <f t="shared" si="34"/>
        <v>10</v>
      </c>
      <c r="AY31" s="34"/>
      <c r="AZ31" s="34" t="s">
        <v>1036</v>
      </c>
      <c r="BA31" s="447"/>
      <c r="BB31" s="447" t="s">
        <v>1036</v>
      </c>
      <c r="BC31" s="447"/>
      <c r="BD31" s="447"/>
      <c r="BE31" s="448">
        <f t="shared" si="35"/>
        <v>10</v>
      </c>
      <c r="BF31" s="611"/>
      <c r="BG31" s="611"/>
      <c r="BH31" s="611"/>
      <c r="BI31" s="611"/>
      <c r="BJ31" s="451">
        <f t="shared" si="36"/>
        <v>0</v>
      </c>
      <c r="BK31" s="452">
        <f t="shared" si="37"/>
        <v>2.7</v>
      </c>
      <c r="BL31" s="453">
        <f t="shared" si="38"/>
        <v>2.7</v>
      </c>
      <c r="BM31" s="437">
        <f t="shared" si="39"/>
        <v>0</v>
      </c>
      <c r="BN31" s="454">
        <f t="shared" si="40"/>
        <v>5.4</v>
      </c>
      <c r="BO31" s="455">
        <f t="shared" si="41"/>
        <v>0</v>
      </c>
      <c r="BP31" s="456">
        <f t="shared" si="42"/>
        <v>5</v>
      </c>
      <c r="BQ31" s="453">
        <f t="shared" si="43"/>
        <v>2.7</v>
      </c>
      <c r="BR31" s="453"/>
      <c r="BS31" s="13">
        <f t="shared" si="44"/>
        <v>0</v>
      </c>
      <c r="BT31" s="451">
        <f t="shared" si="45"/>
        <v>45.5</v>
      </c>
      <c r="BU31" s="33"/>
      <c r="BV31" s="669" t="s">
        <v>1315</v>
      </c>
      <c r="BW31" s="107" t="s">
        <v>1073</v>
      </c>
    </row>
    <row r="32" spans="1:76" s="20" customFormat="1" ht="63.75" customHeight="1" x14ac:dyDescent="0.25">
      <c r="A32" s="469">
        <v>44</v>
      </c>
      <c r="B32" s="472">
        <f t="shared" si="23"/>
        <v>44.030230115648948</v>
      </c>
      <c r="C32" s="473" t="s">
        <v>984</v>
      </c>
      <c r="D32" s="473" t="s">
        <v>1122</v>
      </c>
      <c r="E32" s="416" t="s">
        <v>929</v>
      </c>
      <c r="F32" s="416" t="s">
        <v>1197</v>
      </c>
      <c r="G32" s="416"/>
      <c r="H32" s="416"/>
      <c r="I32" s="416"/>
      <c r="J32" s="161"/>
      <c r="K32" s="51">
        <f>'Calculator Impact  2025'!O133</f>
        <v>474</v>
      </c>
      <c r="L32" s="51">
        <f>'Calculator Impact  2025'!E133</f>
        <v>52212</v>
      </c>
      <c r="M32" s="433">
        <f>'Calculator Impact  2025'!P133</f>
        <v>9.1000000000000004E-3</v>
      </c>
      <c r="N32" s="200">
        <v>46539</v>
      </c>
      <c r="O32" s="33">
        <v>0</v>
      </c>
      <c r="P32" s="61" t="s">
        <v>26</v>
      </c>
      <c r="Q32" s="61" t="s">
        <v>27</v>
      </c>
      <c r="R32" s="15">
        <v>16367205</v>
      </c>
      <c r="S32" s="31">
        <v>0</v>
      </c>
      <c r="T32" s="17">
        <f t="shared" si="24"/>
        <v>16367205</v>
      </c>
      <c r="U32" s="16">
        <v>0</v>
      </c>
      <c r="V32" s="463">
        <f t="shared" si="25"/>
        <v>10000000</v>
      </c>
      <c r="W32" s="32" t="s">
        <v>26</v>
      </c>
      <c r="X32" s="33" t="s">
        <v>1039</v>
      </c>
      <c r="Y32" s="18">
        <f t="shared" si="26"/>
        <v>27</v>
      </c>
      <c r="Z32" s="37">
        <v>10700000</v>
      </c>
      <c r="AA32" s="435">
        <f>'Calculator Impact  2025'!$Q$133</f>
        <v>6.63</v>
      </c>
      <c r="AB32" s="413">
        <f t="shared" si="27"/>
        <v>0</v>
      </c>
      <c r="AC32" s="414">
        <f t="shared" si="28"/>
        <v>0</v>
      </c>
      <c r="AD32" s="413">
        <f t="shared" si="29"/>
        <v>0.43959999999999999</v>
      </c>
      <c r="AE32" s="414">
        <v>0</v>
      </c>
      <c r="AF32" s="414">
        <v>0</v>
      </c>
      <c r="AG32" s="383" t="s">
        <v>27</v>
      </c>
      <c r="AH32" s="385">
        <v>0</v>
      </c>
      <c r="AI32" s="383" t="s">
        <v>27</v>
      </c>
      <c r="AJ32" s="385">
        <f t="shared" si="30"/>
        <v>0</v>
      </c>
      <c r="AK32" s="385">
        <v>0</v>
      </c>
      <c r="AL32" s="386"/>
      <c r="AM32" s="379">
        <f t="shared" si="31"/>
        <v>0</v>
      </c>
      <c r="AN32" s="51">
        <v>0</v>
      </c>
      <c r="AO32" s="29">
        <f t="shared" si="32"/>
        <v>0.6537463177127677</v>
      </c>
      <c r="AP32" s="444"/>
      <c r="AQ32" s="443" t="s">
        <v>1036</v>
      </c>
      <c r="AR32" s="444">
        <f t="shared" si="33"/>
        <v>10</v>
      </c>
      <c r="AS32" s="439"/>
      <c r="AT32" s="439"/>
      <c r="AU32" s="440"/>
      <c r="AV32" s="439" t="s">
        <v>1036</v>
      </c>
      <c r="AW32" s="439"/>
      <c r="AX32" s="440">
        <f t="shared" si="34"/>
        <v>20</v>
      </c>
      <c r="AY32" s="34"/>
      <c r="AZ32" s="34"/>
      <c r="BA32" s="447"/>
      <c r="BB32" s="447"/>
      <c r="BC32" s="447"/>
      <c r="BD32" s="447" t="s">
        <v>1036</v>
      </c>
      <c r="BE32" s="448">
        <f t="shared" si="35"/>
        <v>20</v>
      </c>
      <c r="BF32" s="611"/>
      <c r="BG32" s="611"/>
      <c r="BH32" s="611"/>
      <c r="BI32" s="611"/>
      <c r="BJ32" s="451">
        <f t="shared" si="36"/>
        <v>3.5302301156489455</v>
      </c>
      <c r="BK32" s="452">
        <f t="shared" si="37"/>
        <v>2.7</v>
      </c>
      <c r="BL32" s="453">
        <f t="shared" si="38"/>
        <v>5.4</v>
      </c>
      <c r="BM32" s="437">
        <f t="shared" si="39"/>
        <v>0</v>
      </c>
      <c r="BN32" s="454">
        <f t="shared" si="40"/>
        <v>0</v>
      </c>
      <c r="BO32" s="455">
        <f t="shared" si="41"/>
        <v>0</v>
      </c>
      <c r="BP32" s="456">
        <f t="shared" si="42"/>
        <v>0</v>
      </c>
      <c r="BQ32" s="453">
        <f t="shared" si="43"/>
        <v>5.4</v>
      </c>
      <c r="BR32" s="453"/>
      <c r="BS32" s="13">
        <f t="shared" si="44"/>
        <v>0</v>
      </c>
      <c r="BT32" s="451">
        <f t="shared" si="45"/>
        <v>44.030230115648948</v>
      </c>
      <c r="BU32" s="33"/>
      <c r="BV32" s="107" t="s">
        <v>1082</v>
      </c>
    </row>
    <row r="33" spans="1:75" s="20" customFormat="1" ht="15.5" x14ac:dyDescent="0.25">
      <c r="A33" s="431">
        <v>10</v>
      </c>
      <c r="B33" s="145">
        <f t="shared" si="23"/>
        <v>41.18</v>
      </c>
      <c r="C33" s="416" t="s">
        <v>946</v>
      </c>
      <c r="D33" s="416" t="s">
        <v>1043</v>
      </c>
      <c r="E33" s="416" t="s">
        <v>928</v>
      </c>
      <c r="F33" s="416" t="s">
        <v>1198</v>
      </c>
      <c r="G33" s="416"/>
      <c r="H33" s="416"/>
      <c r="I33" s="416"/>
      <c r="J33" s="161"/>
      <c r="K33" s="51">
        <f>'Calculator Impact  2025'!O34</f>
        <v>763</v>
      </c>
      <c r="L33" s="51">
        <f>'Calculator Impact  2025'!E34</f>
        <v>45250</v>
      </c>
      <c r="M33" s="433">
        <f>'Calculator Impact  2025'!P34</f>
        <v>1.6899999999999998E-2</v>
      </c>
      <c r="N33" s="200">
        <v>45748</v>
      </c>
      <c r="O33" s="33">
        <v>7</v>
      </c>
      <c r="P33" s="61" t="s">
        <v>26</v>
      </c>
      <c r="Q33" s="61" t="s">
        <v>26</v>
      </c>
      <c r="R33" s="15">
        <v>1250000</v>
      </c>
      <c r="S33" s="31">
        <v>0</v>
      </c>
      <c r="T33" s="17">
        <f t="shared" si="24"/>
        <v>1250000</v>
      </c>
      <c r="U33" s="16">
        <v>0</v>
      </c>
      <c r="V33" s="420">
        <f t="shared" si="25"/>
        <v>1250000</v>
      </c>
      <c r="W33" s="32" t="s">
        <v>26</v>
      </c>
      <c r="X33" s="33" t="s">
        <v>1039</v>
      </c>
      <c r="Y33" s="18">
        <f t="shared" si="26"/>
        <v>27</v>
      </c>
      <c r="Z33" s="37">
        <v>0</v>
      </c>
      <c r="AA33" s="435">
        <f>'Calculator Impact  2025'!$Q$34</f>
        <v>7.64</v>
      </c>
      <c r="AB33" s="413">
        <f t="shared" si="27"/>
        <v>0.5837</v>
      </c>
      <c r="AC33" s="414">
        <v>0</v>
      </c>
      <c r="AD33" s="413">
        <f t="shared" si="29"/>
        <v>0.5837</v>
      </c>
      <c r="AE33" s="414">
        <v>0</v>
      </c>
      <c r="AF33" s="414">
        <v>0</v>
      </c>
      <c r="AG33" s="383" t="s">
        <v>27</v>
      </c>
      <c r="AH33" s="385">
        <v>0</v>
      </c>
      <c r="AI33" s="383" t="s">
        <v>27</v>
      </c>
      <c r="AJ33" s="385">
        <f t="shared" si="30"/>
        <v>0</v>
      </c>
      <c r="AK33" s="385">
        <f>Z33+AJ33</f>
        <v>0</v>
      </c>
      <c r="AL33" s="386"/>
      <c r="AM33" s="379">
        <f t="shared" si="31"/>
        <v>0</v>
      </c>
      <c r="AN33" s="51">
        <v>0</v>
      </c>
      <c r="AO33" s="29">
        <f t="shared" si="32"/>
        <v>0</v>
      </c>
      <c r="AP33" s="444"/>
      <c r="AQ33" s="443" t="s">
        <v>1036</v>
      </c>
      <c r="AR33" s="444">
        <f t="shared" si="33"/>
        <v>10</v>
      </c>
      <c r="AS33" s="439"/>
      <c r="AT33" s="439" t="s">
        <v>1036</v>
      </c>
      <c r="AU33" s="440"/>
      <c r="AV33" s="439"/>
      <c r="AW33" s="439"/>
      <c r="AX33" s="440">
        <f t="shared" si="34"/>
        <v>10</v>
      </c>
      <c r="AY33" s="34"/>
      <c r="AZ33" s="34"/>
      <c r="BA33" s="447"/>
      <c r="BB33" s="447"/>
      <c r="BC33" s="447"/>
      <c r="BD33" s="447"/>
      <c r="BE33" s="448">
        <f t="shared" si="35"/>
        <v>0</v>
      </c>
      <c r="BF33" s="611"/>
      <c r="BG33" s="611"/>
      <c r="BH33" s="611"/>
      <c r="BI33" s="611"/>
      <c r="BJ33" s="451">
        <f t="shared" si="36"/>
        <v>0</v>
      </c>
      <c r="BK33" s="452">
        <f t="shared" si="37"/>
        <v>2.7</v>
      </c>
      <c r="BL33" s="453">
        <f t="shared" si="38"/>
        <v>2.7</v>
      </c>
      <c r="BM33" s="437">
        <f t="shared" si="39"/>
        <v>0</v>
      </c>
      <c r="BN33" s="454">
        <f t="shared" si="40"/>
        <v>0</v>
      </c>
      <c r="BO33" s="455">
        <f t="shared" si="41"/>
        <v>3.78</v>
      </c>
      <c r="BP33" s="456">
        <f t="shared" si="42"/>
        <v>5</v>
      </c>
      <c r="BQ33" s="453">
        <f t="shared" si="43"/>
        <v>0</v>
      </c>
      <c r="BR33" s="453"/>
      <c r="BS33" s="13">
        <f t="shared" si="44"/>
        <v>0</v>
      </c>
      <c r="BT33" s="451">
        <f t="shared" si="45"/>
        <v>41.18</v>
      </c>
      <c r="BU33" s="33"/>
    </row>
    <row r="34" spans="1:75" s="107" customFormat="1" ht="31" x14ac:dyDescent="0.25">
      <c r="A34" s="431">
        <v>35</v>
      </c>
      <c r="B34" s="145">
        <f t="shared" si="23"/>
        <v>41.74</v>
      </c>
      <c r="C34" s="416" t="s">
        <v>975</v>
      </c>
      <c r="D34" s="416" t="s">
        <v>1070</v>
      </c>
      <c r="E34" s="416" t="s">
        <v>930</v>
      </c>
      <c r="F34" s="416" t="s">
        <v>1199</v>
      </c>
      <c r="G34" s="416"/>
      <c r="H34" s="416"/>
      <c r="I34" s="416"/>
      <c r="J34" s="161"/>
      <c r="K34" s="51">
        <f>'Calculator Impact  2025'!O105</f>
        <v>803</v>
      </c>
      <c r="L34" s="51">
        <f>'Calculator Impact  2025'!E105</f>
        <v>47800</v>
      </c>
      <c r="M34" s="433">
        <f>'Calculator Impact  2025'!P105</f>
        <v>1.6799999999999999E-2</v>
      </c>
      <c r="N34" s="200">
        <v>45778</v>
      </c>
      <c r="O34" s="33">
        <v>6</v>
      </c>
      <c r="P34" s="61" t="s">
        <v>26</v>
      </c>
      <c r="Q34" s="61" t="s">
        <v>26</v>
      </c>
      <c r="R34" s="15">
        <v>340000</v>
      </c>
      <c r="S34" s="31">
        <v>0</v>
      </c>
      <c r="T34" s="17">
        <f t="shared" si="24"/>
        <v>340000</v>
      </c>
      <c r="U34" s="16">
        <v>0</v>
      </c>
      <c r="V34" s="420">
        <f t="shared" si="25"/>
        <v>340000</v>
      </c>
      <c r="W34" s="32" t="s">
        <v>26</v>
      </c>
      <c r="X34" s="33" t="s">
        <v>1044</v>
      </c>
      <c r="Y34" s="18">
        <f t="shared" si="26"/>
        <v>22</v>
      </c>
      <c r="Z34" s="37">
        <v>0</v>
      </c>
      <c r="AA34" s="435">
        <f>'Calculator Impact  2025'!$Q$105</f>
        <v>5.93</v>
      </c>
      <c r="AB34" s="413">
        <f t="shared" si="27"/>
        <v>0</v>
      </c>
      <c r="AC34" s="414">
        <f>ROUND(IF(AB34*T34&gt;=1000000,1000000,AB34*T34),0)</f>
        <v>0</v>
      </c>
      <c r="AD34" s="413">
        <f t="shared" si="29"/>
        <v>0</v>
      </c>
      <c r="AE34" s="414">
        <f>ROUND(IF(AD34*V34&gt;=1000000,1000000,AD34*V34),0)</f>
        <v>0</v>
      </c>
      <c r="AF34" s="414">
        <v>0</v>
      </c>
      <c r="AG34" s="383" t="s">
        <v>27</v>
      </c>
      <c r="AH34" s="385">
        <v>0</v>
      </c>
      <c r="AI34" s="383" t="s">
        <v>27</v>
      </c>
      <c r="AJ34" s="385">
        <f t="shared" si="30"/>
        <v>0</v>
      </c>
      <c r="AK34" s="385">
        <f>Z34+AJ34</f>
        <v>0</v>
      </c>
      <c r="AL34" s="386"/>
      <c r="AM34" s="379">
        <f t="shared" si="31"/>
        <v>0</v>
      </c>
      <c r="AN34" s="51">
        <v>0</v>
      </c>
      <c r="AO34" s="29">
        <f t="shared" si="32"/>
        <v>0</v>
      </c>
      <c r="AP34" s="443" t="s">
        <v>1036</v>
      </c>
      <c r="AQ34" s="443"/>
      <c r="AR34" s="444">
        <f t="shared" si="33"/>
        <v>20</v>
      </c>
      <c r="AS34" s="439"/>
      <c r="AT34" s="439"/>
      <c r="AU34" s="440"/>
      <c r="AV34" s="439" t="s">
        <v>1036</v>
      </c>
      <c r="AW34" s="439"/>
      <c r="AX34" s="440">
        <f t="shared" si="34"/>
        <v>20</v>
      </c>
      <c r="AY34" s="34"/>
      <c r="AZ34" s="34"/>
      <c r="BA34" s="447"/>
      <c r="BB34" s="447"/>
      <c r="BC34" s="447" t="s">
        <v>1036</v>
      </c>
      <c r="BD34" s="447"/>
      <c r="BE34" s="448">
        <f t="shared" si="35"/>
        <v>15</v>
      </c>
      <c r="BF34" s="611"/>
      <c r="BG34" s="611"/>
      <c r="BH34" s="611"/>
      <c r="BI34" s="611"/>
      <c r="BJ34" s="451">
        <f t="shared" si="36"/>
        <v>0</v>
      </c>
      <c r="BK34" s="452">
        <f t="shared" si="37"/>
        <v>4.4000000000000004</v>
      </c>
      <c r="BL34" s="453">
        <f t="shared" si="38"/>
        <v>4.4000000000000004</v>
      </c>
      <c r="BM34" s="437">
        <f t="shared" si="39"/>
        <v>0</v>
      </c>
      <c r="BN34" s="454">
        <f t="shared" si="40"/>
        <v>0</v>
      </c>
      <c r="BO34" s="455">
        <f t="shared" si="41"/>
        <v>2.64</v>
      </c>
      <c r="BP34" s="456">
        <f t="shared" si="42"/>
        <v>5</v>
      </c>
      <c r="BQ34" s="453">
        <f t="shared" si="43"/>
        <v>3.3</v>
      </c>
      <c r="BR34" s="453"/>
      <c r="BS34" s="13">
        <f t="shared" si="44"/>
        <v>0</v>
      </c>
      <c r="BT34" s="451">
        <f t="shared" si="45"/>
        <v>41.74</v>
      </c>
      <c r="BU34" s="33"/>
      <c r="BV34" s="20"/>
      <c r="BW34" s="20"/>
    </row>
    <row r="35" spans="1:75" s="20" customFormat="1" ht="79.5" customHeight="1" x14ac:dyDescent="0.25">
      <c r="A35" s="430">
        <v>17</v>
      </c>
      <c r="B35" s="145">
        <f t="shared" si="23"/>
        <v>38.279276420184068</v>
      </c>
      <c r="C35" s="416" t="s">
        <v>955</v>
      </c>
      <c r="D35" s="416" t="s">
        <v>1014</v>
      </c>
      <c r="E35" s="416" t="s">
        <v>937</v>
      </c>
      <c r="F35" s="416" t="s">
        <v>1200</v>
      </c>
      <c r="G35" s="416"/>
      <c r="H35" s="416"/>
      <c r="I35" s="416"/>
      <c r="J35" s="161"/>
      <c r="K35" s="51">
        <f>'Calculator Impact  2025'!O61</f>
        <v>615</v>
      </c>
      <c r="L35" s="51">
        <f>'Calculator Impact  2025'!E61</f>
        <v>53523</v>
      </c>
      <c r="M35" s="433">
        <f>'Calculator Impact  2025'!P61</f>
        <v>1.15E-2</v>
      </c>
      <c r="N35" s="200">
        <v>45505</v>
      </c>
      <c r="O35" s="33">
        <v>15</v>
      </c>
      <c r="P35" s="61" t="s">
        <v>26</v>
      </c>
      <c r="Q35" s="61" t="s">
        <v>26</v>
      </c>
      <c r="R35" s="15">
        <v>7877500</v>
      </c>
      <c r="S35" s="31">
        <v>0</v>
      </c>
      <c r="T35" s="17">
        <f t="shared" si="24"/>
        <v>7877500</v>
      </c>
      <c r="U35" s="16">
        <v>0</v>
      </c>
      <c r="V35" s="420">
        <f t="shared" si="25"/>
        <v>7877500</v>
      </c>
      <c r="W35" s="32" t="s">
        <v>26</v>
      </c>
      <c r="X35" s="33" t="s">
        <v>1044</v>
      </c>
      <c r="Y35" s="18">
        <f t="shared" si="26"/>
        <v>22</v>
      </c>
      <c r="Z35" s="37">
        <v>500000</v>
      </c>
      <c r="AA35" s="435">
        <f>'Calculator Impact  2025'!$Q$61</f>
        <v>4.93</v>
      </c>
      <c r="AB35" s="413">
        <f t="shared" si="27"/>
        <v>0</v>
      </c>
      <c r="AC35" s="414">
        <f>ROUND(IF(AB35*T35&gt;=1000000,1000000,AB35*T35),0)</f>
        <v>0</v>
      </c>
      <c r="AD35" s="413">
        <f t="shared" si="29"/>
        <v>0</v>
      </c>
      <c r="AE35" s="414">
        <f>ROUND(IF(AD35*V35&gt;=1000000,1000000,AD35*V35),0)</f>
        <v>0</v>
      </c>
      <c r="AF35" s="414">
        <v>0</v>
      </c>
      <c r="AG35" s="383" t="s">
        <v>27</v>
      </c>
      <c r="AH35" s="385">
        <v>0</v>
      </c>
      <c r="AI35" s="383" t="s">
        <v>27</v>
      </c>
      <c r="AJ35" s="385">
        <f t="shared" si="30"/>
        <v>0</v>
      </c>
      <c r="AK35" s="385">
        <v>0</v>
      </c>
      <c r="AL35" s="386"/>
      <c r="AM35" s="379">
        <f t="shared" si="31"/>
        <v>0</v>
      </c>
      <c r="AN35" s="51">
        <v>0</v>
      </c>
      <c r="AO35" s="29">
        <f t="shared" si="32"/>
        <v>6.3471913678197392E-2</v>
      </c>
      <c r="AP35" s="443"/>
      <c r="AQ35" s="443"/>
      <c r="AR35" s="444">
        <f t="shared" si="33"/>
        <v>0</v>
      </c>
      <c r="AS35" s="439"/>
      <c r="AT35" s="439"/>
      <c r="AU35" s="439"/>
      <c r="AV35" s="439" t="s">
        <v>1036</v>
      </c>
      <c r="AW35" s="439">
        <f>AU36</f>
        <v>0</v>
      </c>
      <c r="AX35" s="440">
        <f t="shared" si="34"/>
        <v>20</v>
      </c>
      <c r="AY35" s="34"/>
      <c r="AZ35" s="34"/>
      <c r="BA35" s="447"/>
      <c r="BB35" s="447"/>
      <c r="BC35" s="447"/>
      <c r="BD35" s="447"/>
      <c r="BE35" s="448">
        <f t="shared" si="35"/>
        <v>0</v>
      </c>
      <c r="BF35" s="611"/>
      <c r="BG35" s="611"/>
      <c r="BH35" s="611"/>
      <c r="BI35" s="611"/>
      <c r="BJ35" s="451">
        <f t="shared" si="36"/>
        <v>0.27927642018406851</v>
      </c>
      <c r="BK35" s="452">
        <f t="shared" si="37"/>
        <v>0</v>
      </c>
      <c r="BL35" s="453">
        <f t="shared" si="38"/>
        <v>4.4000000000000004</v>
      </c>
      <c r="BM35" s="437">
        <f t="shared" si="39"/>
        <v>0</v>
      </c>
      <c r="BN35" s="454">
        <f t="shared" si="40"/>
        <v>0</v>
      </c>
      <c r="BO35" s="455">
        <f t="shared" si="41"/>
        <v>6.6</v>
      </c>
      <c r="BP35" s="456">
        <f t="shared" si="42"/>
        <v>5</v>
      </c>
      <c r="BQ35" s="453">
        <f t="shared" si="43"/>
        <v>0</v>
      </c>
      <c r="BR35" s="453"/>
      <c r="BS35" s="13">
        <f t="shared" si="44"/>
        <v>0</v>
      </c>
      <c r="BT35" s="451">
        <f t="shared" si="45"/>
        <v>38.279276420184068</v>
      </c>
      <c r="BU35" s="33"/>
    </row>
    <row r="36" spans="1:75" s="20" customFormat="1" ht="69.75" customHeight="1" x14ac:dyDescent="0.25">
      <c r="A36" s="431">
        <v>39</v>
      </c>
      <c r="B36" s="145">
        <f t="shared" si="23"/>
        <v>42.8</v>
      </c>
      <c r="C36" s="416" t="s">
        <v>980</v>
      </c>
      <c r="D36" s="416" t="s">
        <v>1056</v>
      </c>
      <c r="E36" s="416" t="s">
        <v>929</v>
      </c>
      <c r="F36" s="416" t="s">
        <v>1201</v>
      </c>
      <c r="G36" s="416"/>
      <c r="H36" s="416"/>
      <c r="I36" s="416"/>
      <c r="J36" s="161"/>
      <c r="K36" s="51">
        <f>'Calculator Impact  2025'!O120</f>
        <v>695</v>
      </c>
      <c r="L36" s="51">
        <f>'Calculator Impact  2025'!E120</f>
        <v>47412</v>
      </c>
      <c r="M36" s="433">
        <f>'Calculator Impact  2025'!P120</f>
        <v>1.47E-2</v>
      </c>
      <c r="N36" s="200">
        <v>46157</v>
      </c>
      <c r="O36" s="33">
        <v>0</v>
      </c>
      <c r="P36" s="61" t="s">
        <v>26</v>
      </c>
      <c r="Q36" s="61" t="s">
        <v>26</v>
      </c>
      <c r="R36" s="15">
        <v>255000</v>
      </c>
      <c r="S36" s="31">
        <v>0</v>
      </c>
      <c r="T36" s="17">
        <f t="shared" si="24"/>
        <v>255000</v>
      </c>
      <c r="U36" s="16">
        <v>0</v>
      </c>
      <c r="V36" s="420">
        <f t="shared" si="25"/>
        <v>255000</v>
      </c>
      <c r="W36" s="32" t="s">
        <v>26</v>
      </c>
      <c r="X36" s="33" t="s">
        <v>1039</v>
      </c>
      <c r="Y36" s="18">
        <f t="shared" si="26"/>
        <v>27</v>
      </c>
      <c r="Z36" s="37">
        <v>0</v>
      </c>
      <c r="AA36" s="435">
        <f>'Calculator Impact  2025'!$Q$120</f>
        <v>7.56</v>
      </c>
      <c r="AB36" s="413">
        <f t="shared" si="27"/>
        <v>0.57150000000000001</v>
      </c>
      <c r="AC36" s="414">
        <v>0</v>
      </c>
      <c r="AD36" s="413">
        <f t="shared" si="29"/>
        <v>0.57150000000000001</v>
      </c>
      <c r="AE36" s="414">
        <v>0</v>
      </c>
      <c r="AF36" s="414">
        <v>0</v>
      </c>
      <c r="AG36" s="383" t="s">
        <v>27</v>
      </c>
      <c r="AH36" s="385">
        <v>0</v>
      </c>
      <c r="AI36" s="383" t="s">
        <v>27</v>
      </c>
      <c r="AJ36" s="385">
        <f t="shared" si="30"/>
        <v>0</v>
      </c>
      <c r="AK36" s="385">
        <f>Z36+AJ36</f>
        <v>0</v>
      </c>
      <c r="AL36" s="387"/>
      <c r="AM36" s="379">
        <f t="shared" si="31"/>
        <v>0</v>
      </c>
      <c r="AN36" s="51">
        <v>0</v>
      </c>
      <c r="AO36" s="29">
        <f t="shared" si="32"/>
        <v>0</v>
      </c>
      <c r="AP36" s="443"/>
      <c r="AQ36" s="443" t="s">
        <v>1036</v>
      </c>
      <c r="AR36" s="444">
        <f t="shared" si="33"/>
        <v>10</v>
      </c>
      <c r="AS36" s="439"/>
      <c r="AT36" s="439" t="s">
        <v>1036</v>
      </c>
      <c r="AU36" s="439"/>
      <c r="AV36" s="440"/>
      <c r="AW36" s="439"/>
      <c r="AX36" s="440">
        <f t="shared" si="34"/>
        <v>10</v>
      </c>
      <c r="AY36" s="34"/>
      <c r="AZ36" s="34" t="s">
        <v>1036</v>
      </c>
      <c r="BA36" s="447"/>
      <c r="BB36" s="447"/>
      <c r="BC36" s="447"/>
      <c r="BD36" s="447"/>
      <c r="BE36" s="448">
        <f t="shared" si="35"/>
        <v>0</v>
      </c>
      <c r="BF36" s="611"/>
      <c r="BG36" s="611"/>
      <c r="BH36" s="611"/>
      <c r="BI36" s="611"/>
      <c r="BJ36" s="451">
        <f t="shared" si="36"/>
        <v>0</v>
      </c>
      <c r="BK36" s="452">
        <f t="shared" si="37"/>
        <v>2.7</v>
      </c>
      <c r="BL36" s="453">
        <f t="shared" si="38"/>
        <v>2.7</v>
      </c>
      <c r="BM36" s="437">
        <f t="shared" si="39"/>
        <v>0</v>
      </c>
      <c r="BN36" s="454">
        <f t="shared" si="40"/>
        <v>5.4</v>
      </c>
      <c r="BO36" s="455">
        <f t="shared" si="41"/>
        <v>0</v>
      </c>
      <c r="BP36" s="456">
        <f t="shared" si="42"/>
        <v>5</v>
      </c>
      <c r="BQ36" s="453">
        <f t="shared" si="43"/>
        <v>0</v>
      </c>
      <c r="BR36" s="453"/>
      <c r="BS36" s="13">
        <f t="shared" si="44"/>
        <v>0</v>
      </c>
      <c r="BT36" s="451">
        <f t="shared" si="45"/>
        <v>42.8</v>
      </c>
      <c r="BU36" s="33"/>
    </row>
    <row r="37" spans="1:75" s="107" customFormat="1" ht="31" x14ac:dyDescent="0.25">
      <c r="A37" s="430">
        <v>20</v>
      </c>
      <c r="B37" s="145">
        <f t="shared" si="23"/>
        <v>41.45</v>
      </c>
      <c r="C37" s="416" t="s">
        <v>1016</v>
      </c>
      <c r="D37" s="416" t="s">
        <v>1020</v>
      </c>
      <c r="E37" s="416" t="s">
        <v>930</v>
      </c>
      <c r="F37" s="416" t="s">
        <v>1202</v>
      </c>
      <c r="G37" s="416"/>
      <c r="H37" s="416"/>
      <c r="I37" s="416"/>
      <c r="J37" s="161"/>
      <c r="K37" s="51">
        <f>'Calculator Impact  2025'!O72</f>
        <v>735</v>
      </c>
      <c r="L37" s="51">
        <f>'Calculator Impact  2025'!E72</f>
        <v>88548</v>
      </c>
      <c r="M37" s="433">
        <f>'Calculator Impact  2025'!P72</f>
        <v>8.3000000000000001E-3</v>
      </c>
      <c r="N37" s="200">
        <v>46143</v>
      </c>
      <c r="O37" s="33">
        <v>0</v>
      </c>
      <c r="P37" s="61" t="s">
        <v>26</v>
      </c>
      <c r="Q37" s="61" t="s">
        <v>26</v>
      </c>
      <c r="R37" s="15">
        <v>2000000</v>
      </c>
      <c r="S37" s="31">
        <v>0</v>
      </c>
      <c r="T37" s="17">
        <f t="shared" si="24"/>
        <v>2000000</v>
      </c>
      <c r="U37" s="16">
        <v>0</v>
      </c>
      <c r="V37" s="420">
        <f t="shared" si="25"/>
        <v>2000000</v>
      </c>
      <c r="W37" s="32" t="s">
        <v>26</v>
      </c>
      <c r="X37" s="33" t="s">
        <v>1039</v>
      </c>
      <c r="Y37" s="18">
        <f t="shared" si="26"/>
        <v>27</v>
      </c>
      <c r="Z37" s="37">
        <v>0</v>
      </c>
      <c r="AA37" s="435">
        <f>'Calculator Impact  2025'!$Q$72</f>
        <v>3.15</v>
      </c>
      <c r="AB37" s="413">
        <f t="shared" si="27"/>
        <v>0</v>
      </c>
      <c r="AC37" s="414">
        <f>ROUND(IF(AB37*T37&gt;=1000000,1000000,AB37*T37),0)</f>
        <v>0</v>
      </c>
      <c r="AD37" s="413">
        <f t="shared" si="29"/>
        <v>0</v>
      </c>
      <c r="AE37" s="414">
        <f>ROUND(IF(AD37*V37&gt;=1000000,1000000,AD37*V37),0)</f>
        <v>0</v>
      </c>
      <c r="AF37" s="414">
        <v>0</v>
      </c>
      <c r="AG37" s="383" t="s">
        <v>27</v>
      </c>
      <c r="AH37" s="385">
        <v>0</v>
      </c>
      <c r="AI37" s="383" t="s">
        <v>27</v>
      </c>
      <c r="AJ37" s="385">
        <f t="shared" si="30"/>
        <v>0</v>
      </c>
      <c r="AK37" s="385">
        <f>Z37+AJ37</f>
        <v>0</v>
      </c>
      <c r="AL37" s="386"/>
      <c r="AM37" s="379">
        <f t="shared" si="31"/>
        <v>0</v>
      </c>
      <c r="AN37" s="51">
        <v>0</v>
      </c>
      <c r="AO37" s="29">
        <f t="shared" si="32"/>
        <v>0</v>
      </c>
      <c r="AP37" s="444"/>
      <c r="AQ37" s="443" t="s">
        <v>1036</v>
      </c>
      <c r="AR37" s="444">
        <f t="shared" si="33"/>
        <v>10</v>
      </c>
      <c r="AS37" s="439"/>
      <c r="AT37" s="439" t="s">
        <v>1036</v>
      </c>
      <c r="AU37" s="440"/>
      <c r="AV37" s="440"/>
      <c r="AW37" s="439"/>
      <c r="AX37" s="440">
        <f t="shared" si="34"/>
        <v>10</v>
      </c>
      <c r="AY37" s="34"/>
      <c r="AZ37" s="34"/>
      <c r="BA37" s="447"/>
      <c r="BB37" s="447"/>
      <c r="BC37" s="447" t="s">
        <v>1036</v>
      </c>
      <c r="BD37" s="447"/>
      <c r="BE37" s="448">
        <f t="shared" si="35"/>
        <v>15</v>
      </c>
      <c r="BF37" s="611"/>
      <c r="BG37" s="611"/>
      <c r="BH37" s="611"/>
      <c r="BI37" s="611"/>
      <c r="BJ37" s="451">
        <f t="shared" si="36"/>
        <v>0</v>
      </c>
      <c r="BK37" s="452">
        <f t="shared" si="37"/>
        <v>2.7</v>
      </c>
      <c r="BL37" s="453">
        <f t="shared" si="38"/>
        <v>2.7</v>
      </c>
      <c r="BM37" s="437">
        <f t="shared" si="39"/>
        <v>0</v>
      </c>
      <c r="BN37" s="454">
        <f t="shared" si="40"/>
        <v>0</v>
      </c>
      <c r="BO37" s="455">
        <f t="shared" si="41"/>
        <v>0</v>
      </c>
      <c r="BP37" s="456">
        <f t="shared" si="42"/>
        <v>5</v>
      </c>
      <c r="BQ37" s="453">
        <f t="shared" si="43"/>
        <v>4.05</v>
      </c>
      <c r="BR37" s="453"/>
      <c r="BS37" s="13">
        <f t="shared" si="44"/>
        <v>0</v>
      </c>
      <c r="BT37" s="451">
        <f t="shared" si="45"/>
        <v>41.45</v>
      </c>
      <c r="BU37" s="33"/>
      <c r="BV37" s="20"/>
      <c r="BW37" s="20"/>
    </row>
    <row r="38" spans="1:75" s="107" customFormat="1" ht="102" customHeight="1" x14ac:dyDescent="0.25">
      <c r="A38" s="431">
        <v>11</v>
      </c>
      <c r="B38" s="145">
        <f t="shared" si="23"/>
        <v>39.1</v>
      </c>
      <c r="C38" s="416" t="s">
        <v>947</v>
      </c>
      <c r="D38" s="416" t="s">
        <v>1049</v>
      </c>
      <c r="E38" s="416" t="s">
        <v>927</v>
      </c>
      <c r="F38" s="416" t="s">
        <v>948</v>
      </c>
      <c r="G38" s="416"/>
      <c r="H38" s="416"/>
      <c r="I38" s="416"/>
      <c r="J38" s="161"/>
      <c r="K38" s="51">
        <f>'Calculator Impact  2025'!O38</f>
        <v>442</v>
      </c>
      <c r="L38" s="51">
        <f>'Calculator Impact  2025'!E38</f>
        <v>47803</v>
      </c>
      <c r="M38" s="433">
        <f>'Calculator Impact  2025'!P38</f>
        <v>9.1999999999999998E-3</v>
      </c>
      <c r="N38" s="200">
        <v>45809</v>
      </c>
      <c r="O38" s="33">
        <v>5</v>
      </c>
      <c r="P38" s="61" t="s">
        <v>26</v>
      </c>
      <c r="Q38" s="61" t="s">
        <v>26</v>
      </c>
      <c r="R38" s="15">
        <v>5402850</v>
      </c>
      <c r="S38" s="31">
        <v>1292438</v>
      </c>
      <c r="T38" s="17">
        <f t="shared" si="24"/>
        <v>4110412</v>
      </c>
      <c r="U38" s="16">
        <v>0</v>
      </c>
      <c r="V38" s="420">
        <f t="shared" si="25"/>
        <v>4110412</v>
      </c>
      <c r="W38" s="32" t="s">
        <v>26</v>
      </c>
      <c r="X38" s="33" t="s">
        <v>1044</v>
      </c>
      <c r="Y38" s="18">
        <f t="shared" si="26"/>
        <v>22</v>
      </c>
      <c r="Z38" s="37">
        <v>0</v>
      </c>
      <c r="AA38" s="435">
        <f>'Calculator Impact  2025'!$Q$38</f>
        <v>5.99</v>
      </c>
      <c r="AB38" s="413">
        <f t="shared" si="27"/>
        <v>0</v>
      </c>
      <c r="AC38" s="414">
        <f>ROUND(IF(AB38*T38&gt;=1000000,1000000,AB38*T38),0)</f>
        <v>0</v>
      </c>
      <c r="AD38" s="413">
        <f t="shared" si="29"/>
        <v>0</v>
      </c>
      <c r="AE38" s="414">
        <f>ROUND(IF(AD38*V38&gt;=1000000,1000000,AD38*V38),0)</f>
        <v>0</v>
      </c>
      <c r="AF38" s="414">
        <v>0</v>
      </c>
      <c r="AG38" s="383" t="s">
        <v>26</v>
      </c>
      <c r="AH38" s="385">
        <v>0</v>
      </c>
      <c r="AI38" s="383" t="s">
        <v>27</v>
      </c>
      <c r="AJ38" s="384">
        <f t="shared" si="30"/>
        <v>0</v>
      </c>
      <c r="AK38" s="385">
        <f>Z38+AJ38</f>
        <v>0</v>
      </c>
      <c r="AL38" s="387"/>
      <c r="AM38" s="379">
        <f>SUM(AJ38+AK38+AH38)</f>
        <v>0</v>
      </c>
      <c r="AN38" s="51">
        <v>0</v>
      </c>
      <c r="AO38" s="29">
        <f t="shared" si="32"/>
        <v>0</v>
      </c>
      <c r="AP38" s="443"/>
      <c r="AQ38" s="443" t="s">
        <v>1036</v>
      </c>
      <c r="AR38" s="444">
        <f t="shared" si="33"/>
        <v>10</v>
      </c>
      <c r="AS38" s="439"/>
      <c r="AT38" s="439" t="s">
        <v>1036</v>
      </c>
      <c r="AU38" s="439"/>
      <c r="AV38" s="440"/>
      <c r="AW38" s="439"/>
      <c r="AX38" s="440">
        <f t="shared" si="34"/>
        <v>10</v>
      </c>
      <c r="AY38" s="34"/>
      <c r="AZ38" s="34" t="s">
        <v>1036</v>
      </c>
      <c r="BA38" s="447" t="s">
        <v>1036</v>
      </c>
      <c r="BB38" s="447"/>
      <c r="BC38" s="447"/>
      <c r="BD38" s="447"/>
      <c r="BE38" s="448">
        <f t="shared" si="35"/>
        <v>5</v>
      </c>
      <c r="BF38" s="611"/>
      <c r="BG38" s="611"/>
      <c r="BH38" s="611"/>
      <c r="BI38" s="611"/>
      <c r="BJ38" s="451">
        <f t="shared" si="36"/>
        <v>0</v>
      </c>
      <c r="BK38" s="452">
        <f t="shared" si="37"/>
        <v>2.2000000000000002</v>
      </c>
      <c r="BL38" s="453">
        <f t="shared" si="38"/>
        <v>2.2000000000000002</v>
      </c>
      <c r="BM38" s="437">
        <f t="shared" si="39"/>
        <v>0</v>
      </c>
      <c r="BN38" s="454">
        <f t="shared" si="40"/>
        <v>4.4000000000000004</v>
      </c>
      <c r="BO38" s="455">
        <f t="shared" si="41"/>
        <v>2.2000000000000002</v>
      </c>
      <c r="BP38" s="456">
        <f t="shared" si="42"/>
        <v>5</v>
      </c>
      <c r="BQ38" s="453">
        <f t="shared" si="43"/>
        <v>1.1000000000000001</v>
      </c>
      <c r="BR38" s="453"/>
      <c r="BS38" s="13">
        <f t="shared" si="44"/>
        <v>0</v>
      </c>
      <c r="BT38" s="451">
        <f t="shared" si="45"/>
        <v>39.1</v>
      </c>
      <c r="BU38" s="33"/>
      <c r="BV38" s="20"/>
      <c r="BW38" s="20"/>
    </row>
    <row r="39" spans="1:75" s="20" customFormat="1" ht="62.5" x14ac:dyDescent="0.25">
      <c r="A39" s="469">
        <v>5</v>
      </c>
      <c r="B39" s="472">
        <f t="shared" si="23"/>
        <v>39.019999999999996</v>
      </c>
      <c r="C39" s="473" t="s">
        <v>939</v>
      </c>
      <c r="D39" s="473" t="s">
        <v>1114</v>
      </c>
      <c r="E39" s="416" t="s">
        <v>927</v>
      </c>
      <c r="F39" s="416" t="s">
        <v>940</v>
      </c>
      <c r="G39" s="416"/>
      <c r="H39" s="11"/>
      <c r="I39" s="11"/>
      <c r="J39" s="161"/>
      <c r="K39" s="51">
        <f>'Calculator Impact  2025'!O22</f>
        <v>657</v>
      </c>
      <c r="L39" s="51">
        <f>'Calculator Impact  2025'!E22</f>
        <v>57759</v>
      </c>
      <c r="M39" s="433">
        <f>'Calculator Impact  2025'!P22</f>
        <v>1.14E-2</v>
      </c>
      <c r="N39" s="200">
        <v>45870</v>
      </c>
      <c r="O39" s="33">
        <v>3</v>
      </c>
      <c r="P39" s="61" t="s">
        <v>26</v>
      </c>
      <c r="Q39" s="61" t="s">
        <v>26</v>
      </c>
      <c r="R39" s="15">
        <v>3500000</v>
      </c>
      <c r="S39" s="31">
        <v>0</v>
      </c>
      <c r="T39" s="17">
        <f t="shared" si="24"/>
        <v>3500000</v>
      </c>
      <c r="U39" s="16">
        <v>0</v>
      </c>
      <c r="V39" s="420">
        <f t="shared" si="25"/>
        <v>3500000</v>
      </c>
      <c r="W39" s="32" t="s">
        <v>26</v>
      </c>
      <c r="X39" s="33" t="s">
        <v>1039</v>
      </c>
      <c r="Y39" s="18">
        <f t="shared" si="26"/>
        <v>27</v>
      </c>
      <c r="Z39" s="37">
        <v>0</v>
      </c>
      <c r="AA39" s="435">
        <f>'Calculator Impact  2025'!$Q$22</f>
        <v>3.55</v>
      </c>
      <c r="AB39" s="413">
        <f t="shared" si="27"/>
        <v>0</v>
      </c>
      <c r="AC39" s="414">
        <f>ROUND(IF(AB39*T39&gt;=1000000,1000000,AB39*T39),0)</f>
        <v>0</v>
      </c>
      <c r="AD39" s="413">
        <f t="shared" si="29"/>
        <v>0</v>
      </c>
      <c r="AE39" s="414">
        <f>ROUND(IF(AD39*V39&gt;=1000000,1000000,AD39*V39),0)</f>
        <v>0</v>
      </c>
      <c r="AF39" s="414">
        <v>0</v>
      </c>
      <c r="AG39" s="383" t="s">
        <v>27</v>
      </c>
      <c r="AH39" s="384">
        <v>0</v>
      </c>
      <c r="AI39" s="383" t="s">
        <v>27</v>
      </c>
      <c r="AJ39" s="385">
        <f t="shared" si="30"/>
        <v>0</v>
      </c>
      <c r="AK39" s="385">
        <f>Z39+AJ39</f>
        <v>0</v>
      </c>
      <c r="AL39" s="386"/>
      <c r="AM39" s="379">
        <f t="shared" ref="AM39:AM65" si="46">SUM(AC39+AH39+AJ39+AE39+AK39)</f>
        <v>0</v>
      </c>
      <c r="AN39" s="51">
        <v>0</v>
      </c>
      <c r="AO39" s="29">
        <f t="shared" si="32"/>
        <v>0</v>
      </c>
      <c r="AP39" s="444"/>
      <c r="AQ39" s="443" t="s">
        <v>1036</v>
      </c>
      <c r="AR39" s="444">
        <f t="shared" si="33"/>
        <v>10</v>
      </c>
      <c r="AS39" s="439"/>
      <c r="AT39" s="439" t="s">
        <v>1036</v>
      </c>
      <c r="AU39" s="440"/>
      <c r="AV39" s="440"/>
      <c r="AW39" s="439"/>
      <c r="AX39" s="440">
        <f t="shared" si="34"/>
        <v>10</v>
      </c>
      <c r="AY39" s="34"/>
      <c r="AZ39" s="34"/>
      <c r="BA39" s="447"/>
      <c r="BB39" s="447"/>
      <c r="BC39" s="447"/>
      <c r="BD39" s="447"/>
      <c r="BE39" s="448">
        <f t="shared" si="35"/>
        <v>0</v>
      </c>
      <c r="BF39" s="611"/>
      <c r="BG39" s="611"/>
      <c r="BH39" s="611"/>
      <c r="BI39" s="611"/>
      <c r="BJ39" s="451">
        <f t="shared" si="36"/>
        <v>0</v>
      </c>
      <c r="BK39" s="452">
        <f t="shared" si="37"/>
        <v>2.7</v>
      </c>
      <c r="BL39" s="453">
        <f t="shared" si="38"/>
        <v>2.7</v>
      </c>
      <c r="BM39" s="437">
        <f t="shared" si="39"/>
        <v>0</v>
      </c>
      <c r="BN39" s="454">
        <f t="shared" si="40"/>
        <v>0</v>
      </c>
      <c r="BO39" s="455">
        <f t="shared" si="41"/>
        <v>1.62</v>
      </c>
      <c r="BP39" s="456">
        <f t="shared" si="42"/>
        <v>5</v>
      </c>
      <c r="BQ39" s="453">
        <f t="shared" si="43"/>
        <v>0</v>
      </c>
      <c r="BR39" s="453"/>
      <c r="BS39" s="13">
        <f t="shared" si="44"/>
        <v>0</v>
      </c>
      <c r="BT39" s="451">
        <f t="shared" si="45"/>
        <v>39.019999999999996</v>
      </c>
      <c r="BU39" s="33"/>
      <c r="BV39" s="107" t="s">
        <v>1074</v>
      </c>
    </row>
    <row r="40" spans="1:75" s="20" customFormat="1" ht="62" x14ac:dyDescent="0.25">
      <c r="A40" s="469">
        <v>56</v>
      </c>
      <c r="B40" s="472">
        <f t="shared" si="23"/>
        <v>40.200000000000003</v>
      </c>
      <c r="C40" s="473" t="s">
        <v>1000</v>
      </c>
      <c r="D40" s="473" t="s">
        <v>1115</v>
      </c>
      <c r="E40" s="416" t="s">
        <v>931</v>
      </c>
      <c r="F40" s="416" t="s">
        <v>1203</v>
      </c>
      <c r="G40" s="416"/>
      <c r="H40" s="416"/>
      <c r="I40" s="416"/>
      <c r="J40" s="161"/>
      <c r="K40" s="51">
        <f>'Calculator Impact  2025'!O173</f>
        <v>662</v>
      </c>
      <c r="L40" s="51">
        <f>'Calculator Impact  2025'!E173</f>
        <v>59483</v>
      </c>
      <c r="M40" s="433">
        <f>'Calculator Impact  2025'!P173</f>
        <v>1.11E-2</v>
      </c>
      <c r="N40" s="200">
        <v>46266</v>
      </c>
      <c r="O40" s="33">
        <v>0</v>
      </c>
      <c r="P40" s="61" t="s">
        <v>26</v>
      </c>
      <c r="Q40" s="61" t="s">
        <v>26</v>
      </c>
      <c r="R40" s="15">
        <v>37140000</v>
      </c>
      <c r="S40" s="31">
        <v>25000000</v>
      </c>
      <c r="T40" s="17">
        <f t="shared" si="24"/>
        <v>12140000</v>
      </c>
      <c r="U40" s="16">
        <v>0</v>
      </c>
      <c r="V40" s="17">
        <f t="shared" si="25"/>
        <v>10000000</v>
      </c>
      <c r="W40" s="32" t="s">
        <v>26</v>
      </c>
      <c r="X40" s="33" t="s">
        <v>1044</v>
      </c>
      <c r="Y40" s="18">
        <f t="shared" si="26"/>
        <v>22</v>
      </c>
      <c r="Z40" s="37">
        <v>37140000</v>
      </c>
      <c r="AA40" s="435">
        <f>'Calculator Impact  2025'!$Q$173</f>
        <v>5.0999999999999996</v>
      </c>
      <c r="AB40" s="413">
        <f t="shared" si="27"/>
        <v>0</v>
      </c>
      <c r="AC40" s="414">
        <f>ROUND(IF(AB40*T40&gt;=1000000,1000000,AB40*T40),0)</f>
        <v>0</v>
      </c>
      <c r="AD40" s="413">
        <f t="shared" si="29"/>
        <v>0</v>
      </c>
      <c r="AE40" s="414">
        <f>ROUND(IF(AD40*V40&gt;=1000000,1000000,AD40*V40),0)</f>
        <v>0</v>
      </c>
      <c r="AF40" s="414">
        <v>0</v>
      </c>
      <c r="AG40" s="383" t="s">
        <v>27</v>
      </c>
      <c r="AH40" s="385">
        <v>0</v>
      </c>
      <c r="AI40" s="383" t="s">
        <v>27</v>
      </c>
      <c r="AJ40" s="385">
        <f t="shared" si="30"/>
        <v>0</v>
      </c>
      <c r="AK40" s="385">
        <v>0</v>
      </c>
      <c r="AL40" s="386"/>
      <c r="AM40" s="379">
        <f t="shared" si="46"/>
        <v>0</v>
      </c>
      <c r="AN40" s="51">
        <v>0</v>
      </c>
      <c r="AO40" s="29">
        <f t="shared" si="32"/>
        <v>1</v>
      </c>
      <c r="AP40" s="444"/>
      <c r="AQ40" s="443" t="s">
        <v>1036</v>
      </c>
      <c r="AR40" s="444">
        <f t="shared" si="33"/>
        <v>10</v>
      </c>
      <c r="AS40" s="439"/>
      <c r="AT40" s="439" t="s">
        <v>1036</v>
      </c>
      <c r="AU40" s="440"/>
      <c r="AV40" s="440"/>
      <c r="AW40" s="439"/>
      <c r="AX40" s="440">
        <f t="shared" si="34"/>
        <v>10</v>
      </c>
      <c r="AY40" s="34"/>
      <c r="AZ40" s="34" t="s">
        <v>1036</v>
      </c>
      <c r="BA40" s="447"/>
      <c r="BB40" s="447"/>
      <c r="BC40" s="447"/>
      <c r="BD40" s="447"/>
      <c r="BE40" s="448">
        <f t="shared" si="35"/>
        <v>0</v>
      </c>
      <c r="BF40" s="611"/>
      <c r="BG40" s="611"/>
      <c r="BH40" s="611"/>
      <c r="BI40" s="611"/>
      <c r="BJ40" s="451">
        <f t="shared" si="36"/>
        <v>4.4000000000000004</v>
      </c>
      <c r="BK40" s="452">
        <f t="shared" si="37"/>
        <v>2.2000000000000002</v>
      </c>
      <c r="BL40" s="453">
        <f t="shared" si="38"/>
        <v>2.2000000000000002</v>
      </c>
      <c r="BM40" s="437">
        <f t="shared" si="39"/>
        <v>0</v>
      </c>
      <c r="BN40" s="454">
        <f t="shared" si="40"/>
        <v>4.4000000000000004</v>
      </c>
      <c r="BO40" s="455">
        <f t="shared" si="41"/>
        <v>0</v>
      </c>
      <c r="BP40" s="456">
        <f t="shared" si="42"/>
        <v>5</v>
      </c>
      <c r="BQ40" s="453">
        <f t="shared" si="43"/>
        <v>0</v>
      </c>
      <c r="BR40" s="453"/>
      <c r="BS40" s="13">
        <f t="shared" si="44"/>
        <v>0</v>
      </c>
      <c r="BT40" s="451">
        <f t="shared" si="45"/>
        <v>40.200000000000003</v>
      </c>
      <c r="BU40" s="33"/>
      <c r="BV40" s="107" t="s">
        <v>1082</v>
      </c>
    </row>
    <row r="41" spans="1:75" s="20" customFormat="1" ht="90.75" customHeight="1" x14ac:dyDescent="0.25">
      <c r="A41" s="471">
        <v>7</v>
      </c>
      <c r="B41" s="472">
        <f t="shared" si="23"/>
        <v>40.1</v>
      </c>
      <c r="C41" s="473" t="s">
        <v>941</v>
      </c>
      <c r="D41" s="473" t="s">
        <v>1116</v>
      </c>
      <c r="E41" s="416" t="s">
        <v>928</v>
      </c>
      <c r="F41" s="416" t="s">
        <v>1204</v>
      </c>
      <c r="G41" s="416"/>
      <c r="H41" s="416"/>
      <c r="I41" s="416"/>
      <c r="J41" s="161"/>
      <c r="K41" s="51">
        <f>'Calculator Impact  2025'!O24</f>
        <v>997</v>
      </c>
      <c r="L41" s="51">
        <f>'Calculator Impact  2025'!E24</f>
        <v>53120</v>
      </c>
      <c r="M41" s="433">
        <f>'Calculator Impact  2025'!P24</f>
        <v>1.8800000000000001E-2</v>
      </c>
      <c r="N41" s="200">
        <v>46082</v>
      </c>
      <c r="O41" s="33">
        <v>0</v>
      </c>
      <c r="P41" s="61" t="s">
        <v>26</v>
      </c>
      <c r="Q41" s="61" t="s">
        <v>26</v>
      </c>
      <c r="R41" s="15">
        <v>3422000</v>
      </c>
      <c r="S41" s="31">
        <v>0</v>
      </c>
      <c r="T41" s="17">
        <f t="shared" si="24"/>
        <v>3422000</v>
      </c>
      <c r="U41" s="16">
        <v>0</v>
      </c>
      <c r="V41" s="420">
        <f t="shared" si="25"/>
        <v>3422000</v>
      </c>
      <c r="W41" s="32" t="s">
        <v>26</v>
      </c>
      <c r="X41" s="33" t="s">
        <v>1039</v>
      </c>
      <c r="Y41" s="18">
        <f t="shared" si="26"/>
        <v>27</v>
      </c>
      <c r="Z41" s="37">
        <v>0</v>
      </c>
      <c r="AA41" s="435">
        <f>'Calculator Impact  2025'!$Q$24</f>
        <v>6</v>
      </c>
      <c r="AB41" s="413">
        <f t="shared" si="27"/>
        <v>0</v>
      </c>
      <c r="AC41" s="414">
        <f>ROUND(IF(AB41*T41&gt;=1000000,1000000,AB41*T41),0)</f>
        <v>0</v>
      </c>
      <c r="AD41" s="413">
        <f t="shared" si="29"/>
        <v>0.36</v>
      </c>
      <c r="AE41" s="414">
        <v>0</v>
      </c>
      <c r="AF41" s="414">
        <v>0</v>
      </c>
      <c r="AG41" s="383" t="s">
        <v>27</v>
      </c>
      <c r="AH41" s="385">
        <v>0</v>
      </c>
      <c r="AI41" s="383" t="s">
        <v>27</v>
      </c>
      <c r="AJ41" s="385">
        <f t="shared" si="30"/>
        <v>0</v>
      </c>
      <c r="AK41" s="385">
        <f>Z41+AJ41</f>
        <v>0</v>
      </c>
      <c r="AL41" s="386"/>
      <c r="AM41" s="379">
        <f t="shared" si="46"/>
        <v>0</v>
      </c>
      <c r="AN41" s="51">
        <v>0</v>
      </c>
      <c r="AO41" s="29">
        <f t="shared" si="32"/>
        <v>0</v>
      </c>
      <c r="AP41" s="443" t="s">
        <v>1036</v>
      </c>
      <c r="AQ41" s="443"/>
      <c r="AR41" s="444">
        <f t="shared" si="33"/>
        <v>20</v>
      </c>
      <c r="AS41" s="439"/>
      <c r="AT41" s="439" t="s">
        <v>1036</v>
      </c>
      <c r="AU41" s="440"/>
      <c r="AV41" s="440"/>
      <c r="AW41" s="439"/>
      <c r="AX41" s="440">
        <f t="shared" si="34"/>
        <v>10</v>
      </c>
      <c r="AY41" s="34"/>
      <c r="AZ41" s="34"/>
      <c r="BA41" s="447"/>
      <c r="BB41" s="447"/>
      <c r="BC41" s="447"/>
      <c r="BD41" s="447"/>
      <c r="BE41" s="448">
        <f t="shared" si="35"/>
        <v>0</v>
      </c>
      <c r="BF41" s="611"/>
      <c r="BG41" s="611"/>
      <c r="BH41" s="611"/>
      <c r="BI41" s="611"/>
      <c r="BJ41" s="451">
        <f t="shared" si="36"/>
        <v>0</v>
      </c>
      <c r="BK41" s="452">
        <f t="shared" si="37"/>
        <v>5.4</v>
      </c>
      <c r="BL41" s="453">
        <f t="shared" si="38"/>
        <v>2.7</v>
      </c>
      <c r="BM41" s="437">
        <f t="shared" si="39"/>
        <v>0</v>
      </c>
      <c r="BN41" s="454">
        <f t="shared" si="40"/>
        <v>0</v>
      </c>
      <c r="BO41" s="455">
        <f t="shared" si="41"/>
        <v>0</v>
      </c>
      <c r="BP41" s="456">
        <f t="shared" si="42"/>
        <v>5</v>
      </c>
      <c r="BQ41" s="453">
        <f t="shared" si="43"/>
        <v>0</v>
      </c>
      <c r="BR41" s="453"/>
      <c r="BS41" s="13">
        <f t="shared" si="44"/>
        <v>0</v>
      </c>
      <c r="BT41" s="451">
        <f t="shared" si="45"/>
        <v>40.1</v>
      </c>
      <c r="BU41" s="33"/>
      <c r="BV41" s="107" t="s">
        <v>1077</v>
      </c>
      <c r="BW41" s="107" t="s">
        <v>1076</v>
      </c>
    </row>
    <row r="42" spans="1:75" s="20" customFormat="1" ht="81.75" customHeight="1" x14ac:dyDescent="0.25">
      <c r="A42" s="471">
        <v>18</v>
      </c>
      <c r="B42" s="472">
        <f t="shared" si="23"/>
        <v>37.340000000000003</v>
      </c>
      <c r="C42" s="473" t="s">
        <v>956</v>
      </c>
      <c r="D42" s="473" t="s">
        <v>957</v>
      </c>
      <c r="E42" s="416" t="s">
        <v>929</v>
      </c>
      <c r="F42" s="416" t="s">
        <v>1205</v>
      </c>
      <c r="G42" s="416"/>
      <c r="H42" s="416"/>
      <c r="I42" s="416"/>
      <c r="J42" s="161"/>
      <c r="K42" s="51">
        <f>'Calculator Impact  2025'!O62</f>
        <v>2511</v>
      </c>
      <c r="L42" s="51">
        <f>'Calculator Impact  2025'!E62</f>
        <v>75383</v>
      </c>
      <c r="M42" s="433">
        <f>'Calculator Impact  2025'!P62</f>
        <v>3.3300000000000003E-2</v>
      </c>
      <c r="N42" s="200">
        <v>45778</v>
      </c>
      <c r="O42" s="33">
        <v>6</v>
      </c>
      <c r="P42" s="61" t="s">
        <v>26</v>
      </c>
      <c r="Q42" s="61" t="s">
        <v>26</v>
      </c>
      <c r="R42" s="15">
        <v>6780000</v>
      </c>
      <c r="S42" s="31">
        <v>0</v>
      </c>
      <c r="T42" s="17">
        <f t="shared" si="24"/>
        <v>6780000</v>
      </c>
      <c r="U42" s="16">
        <v>0</v>
      </c>
      <c r="V42" s="420">
        <f t="shared" si="25"/>
        <v>6780000</v>
      </c>
      <c r="W42" s="32" t="s">
        <v>26</v>
      </c>
      <c r="X42" s="33" t="s">
        <v>1044</v>
      </c>
      <c r="Y42" s="18">
        <f t="shared" si="26"/>
        <v>22</v>
      </c>
      <c r="Z42" s="37">
        <v>0</v>
      </c>
      <c r="AA42" s="435">
        <f>'Calculator Impact  2025'!$Q$62</f>
        <v>9.33</v>
      </c>
      <c r="AB42" s="413">
        <f t="shared" si="27"/>
        <v>0.87050000000000005</v>
      </c>
      <c r="AC42" s="414">
        <v>0</v>
      </c>
      <c r="AD42" s="413">
        <f t="shared" si="29"/>
        <v>0.87050000000000005</v>
      </c>
      <c r="AE42" s="414">
        <v>0</v>
      </c>
      <c r="AF42" s="414">
        <v>0</v>
      </c>
      <c r="AG42" s="383" t="s">
        <v>27</v>
      </c>
      <c r="AH42" s="385">
        <v>0</v>
      </c>
      <c r="AI42" s="383" t="s">
        <v>27</v>
      </c>
      <c r="AJ42" s="385">
        <f t="shared" si="30"/>
        <v>0</v>
      </c>
      <c r="AK42" s="385">
        <f>Z42+AJ42</f>
        <v>0</v>
      </c>
      <c r="AL42" s="386"/>
      <c r="AM42" s="379">
        <f t="shared" si="46"/>
        <v>0</v>
      </c>
      <c r="AN42" s="51">
        <v>0</v>
      </c>
      <c r="AO42" s="29">
        <f t="shared" si="32"/>
        <v>0</v>
      </c>
      <c r="AP42" s="444"/>
      <c r="AQ42" s="443" t="s">
        <v>1036</v>
      </c>
      <c r="AR42" s="444">
        <f t="shared" si="33"/>
        <v>10</v>
      </c>
      <c r="AS42" s="439"/>
      <c r="AT42" s="439" t="s">
        <v>1036</v>
      </c>
      <c r="AU42" s="440"/>
      <c r="AV42" s="439"/>
      <c r="AW42" s="439"/>
      <c r="AX42" s="440">
        <f t="shared" si="34"/>
        <v>10</v>
      </c>
      <c r="AY42" s="34"/>
      <c r="AZ42" s="34"/>
      <c r="BA42" s="447"/>
      <c r="BB42" s="447"/>
      <c r="BC42" s="447" t="s">
        <v>1036</v>
      </c>
      <c r="BD42" s="447"/>
      <c r="BE42" s="448">
        <f t="shared" si="35"/>
        <v>15</v>
      </c>
      <c r="BF42" s="611"/>
      <c r="BG42" s="611"/>
      <c r="BH42" s="611"/>
      <c r="BI42" s="611"/>
      <c r="BJ42" s="451">
        <f t="shared" si="36"/>
        <v>0</v>
      </c>
      <c r="BK42" s="452">
        <f t="shared" si="37"/>
        <v>2.2000000000000002</v>
      </c>
      <c r="BL42" s="453">
        <f t="shared" si="38"/>
        <v>2.2000000000000002</v>
      </c>
      <c r="BM42" s="437">
        <f t="shared" si="39"/>
        <v>0</v>
      </c>
      <c r="BN42" s="454">
        <f t="shared" si="40"/>
        <v>0</v>
      </c>
      <c r="BO42" s="455">
        <f t="shared" si="41"/>
        <v>2.64</v>
      </c>
      <c r="BP42" s="456">
        <f t="shared" si="42"/>
        <v>5</v>
      </c>
      <c r="BQ42" s="453">
        <f t="shared" si="43"/>
        <v>3.3</v>
      </c>
      <c r="BR42" s="453"/>
      <c r="BS42" s="13">
        <f t="shared" si="44"/>
        <v>0</v>
      </c>
      <c r="BT42" s="451">
        <f t="shared" si="45"/>
        <v>37.340000000000003</v>
      </c>
      <c r="BU42" s="33"/>
      <c r="BV42" s="107" t="s">
        <v>1082</v>
      </c>
      <c r="BW42" s="107"/>
    </row>
    <row r="43" spans="1:75" s="20" customFormat="1" ht="87.75" customHeight="1" x14ac:dyDescent="0.25">
      <c r="A43" s="430">
        <v>16</v>
      </c>
      <c r="B43" s="145">
        <f t="shared" si="23"/>
        <v>35.799999999999997</v>
      </c>
      <c r="C43" s="416" t="s">
        <v>954</v>
      </c>
      <c r="D43" s="416" t="s">
        <v>1108</v>
      </c>
      <c r="E43" s="416" t="s">
        <v>937</v>
      </c>
      <c r="F43" s="416" t="s">
        <v>1206</v>
      </c>
      <c r="G43" s="416"/>
      <c r="H43" s="416"/>
      <c r="I43" s="416"/>
      <c r="J43" s="161"/>
      <c r="K43" s="51">
        <f>'Calculator Impact  2025'!O58</f>
        <v>799</v>
      </c>
      <c r="L43" s="51">
        <f>'Calculator Impact  2025'!E58</f>
        <v>104100</v>
      </c>
      <c r="M43" s="433">
        <f>'Calculator Impact  2025'!P58</f>
        <v>7.7000000000000002E-3</v>
      </c>
      <c r="N43" s="200">
        <v>46082</v>
      </c>
      <c r="O43" s="33">
        <v>0</v>
      </c>
      <c r="P43" s="61" t="s">
        <v>26</v>
      </c>
      <c r="Q43" s="61" t="s">
        <v>26</v>
      </c>
      <c r="R43" s="15">
        <v>16100000</v>
      </c>
      <c r="S43" s="31">
        <v>50000</v>
      </c>
      <c r="T43" s="17">
        <f t="shared" si="24"/>
        <v>16050000</v>
      </c>
      <c r="U43" s="16">
        <v>0</v>
      </c>
      <c r="V43" s="463">
        <f t="shared" si="25"/>
        <v>10000000</v>
      </c>
      <c r="W43" s="32" t="s">
        <v>26</v>
      </c>
      <c r="X43" s="33" t="s">
        <v>1044</v>
      </c>
      <c r="Y43" s="18">
        <f t="shared" si="26"/>
        <v>22</v>
      </c>
      <c r="Z43" s="37">
        <v>0</v>
      </c>
      <c r="AA43" s="435">
        <f>'Calculator Impact  2025'!$Q$58</f>
        <v>2.17</v>
      </c>
      <c r="AB43" s="413">
        <f t="shared" si="27"/>
        <v>0</v>
      </c>
      <c r="AC43" s="414">
        <f>ROUND(IF(AB43*T43&gt;=1000000,1000000,AB43*T43),0)</f>
        <v>0</v>
      </c>
      <c r="AD43" s="413">
        <f t="shared" si="29"/>
        <v>0</v>
      </c>
      <c r="AE43" s="414">
        <f>ROUND(IF(AD43*V43&gt;=1000000,1000000,AD43*V43),0)</f>
        <v>0</v>
      </c>
      <c r="AF43" s="414">
        <v>0</v>
      </c>
      <c r="AG43" s="383" t="s">
        <v>27</v>
      </c>
      <c r="AH43" s="385">
        <v>0</v>
      </c>
      <c r="AI43" s="383" t="s">
        <v>27</v>
      </c>
      <c r="AJ43" s="385">
        <f t="shared" si="30"/>
        <v>0</v>
      </c>
      <c r="AK43" s="385">
        <f>Z43+AJ43</f>
        <v>0</v>
      </c>
      <c r="AL43" s="386"/>
      <c r="AM43" s="379">
        <f t="shared" si="46"/>
        <v>0</v>
      </c>
      <c r="AN43" s="51">
        <v>0</v>
      </c>
      <c r="AO43" s="29">
        <f t="shared" si="32"/>
        <v>0</v>
      </c>
      <c r="AP43" s="444"/>
      <c r="AQ43" s="443"/>
      <c r="AR43" s="444">
        <f t="shared" si="33"/>
        <v>0</v>
      </c>
      <c r="AS43" s="439"/>
      <c r="AT43" s="439"/>
      <c r="AU43" s="439"/>
      <c r="AV43" s="439" t="s">
        <v>1036</v>
      </c>
      <c r="AW43" s="439"/>
      <c r="AX43" s="440">
        <f t="shared" si="34"/>
        <v>20</v>
      </c>
      <c r="AY43" s="34"/>
      <c r="AZ43" s="34" t="s">
        <v>1036</v>
      </c>
      <c r="BA43" s="447"/>
      <c r="BB43" s="447"/>
      <c r="BC43" s="447"/>
      <c r="BD43" s="447"/>
      <c r="BE43" s="448">
        <f t="shared" si="35"/>
        <v>0</v>
      </c>
      <c r="BF43" s="611"/>
      <c r="BG43" s="611"/>
      <c r="BH43" s="611"/>
      <c r="BI43" s="611"/>
      <c r="BJ43" s="451">
        <f t="shared" si="36"/>
        <v>0</v>
      </c>
      <c r="BK43" s="452">
        <f t="shared" si="37"/>
        <v>0</v>
      </c>
      <c r="BL43" s="453">
        <f t="shared" si="38"/>
        <v>4.4000000000000004</v>
      </c>
      <c r="BM43" s="437">
        <f t="shared" si="39"/>
        <v>0</v>
      </c>
      <c r="BN43" s="454">
        <f t="shared" si="40"/>
        <v>4.4000000000000004</v>
      </c>
      <c r="BO43" s="455">
        <f t="shared" si="41"/>
        <v>0</v>
      </c>
      <c r="BP43" s="456">
        <f t="shared" si="42"/>
        <v>5</v>
      </c>
      <c r="BQ43" s="453">
        <f t="shared" si="43"/>
        <v>0</v>
      </c>
      <c r="BR43" s="453"/>
      <c r="BS43" s="13">
        <f t="shared" si="44"/>
        <v>0</v>
      </c>
      <c r="BT43" s="451">
        <f t="shared" si="45"/>
        <v>35.799999999999997</v>
      </c>
      <c r="BU43" s="33"/>
    </row>
    <row r="44" spans="1:75" s="20" customFormat="1" ht="46.5" x14ac:dyDescent="0.25">
      <c r="A44" s="469">
        <v>29</v>
      </c>
      <c r="B44" s="472">
        <f t="shared" si="23"/>
        <v>31.72</v>
      </c>
      <c r="C44" s="473" t="s">
        <v>969</v>
      </c>
      <c r="D44" s="473" t="s">
        <v>1052</v>
      </c>
      <c r="E44" s="416" t="s">
        <v>929</v>
      </c>
      <c r="F44" s="416" t="s">
        <v>970</v>
      </c>
      <c r="G44" s="416"/>
      <c r="H44" s="416"/>
      <c r="I44" s="416"/>
      <c r="J44" s="161"/>
      <c r="K44" s="51">
        <f>'Calculator Impact  2025'!O97</f>
        <v>441</v>
      </c>
      <c r="L44" s="51">
        <f>'Calculator Impact  2025'!E97</f>
        <v>25000</v>
      </c>
      <c r="M44" s="433">
        <f>'Calculator Impact  2025'!P97</f>
        <v>1.7600000000000001E-2</v>
      </c>
      <c r="N44" s="200">
        <v>45778</v>
      </c>
      <c r="O44" s="33">
        <v>6</v>
      </c>
      <c r="P44" s="61" t="s">
        <v>26</v>
      </c>
      <c r="Q44" s="61" t="s">
        <v>26</v>
      </c>
      <c r="R44" s="15">
        <v>522000</v>
      </c>
      <c r="S44" s="16">
        <v>0</v>
      </c>
      <c r="T44" s="17">
        <f t="shared" si="24"/>
        <v>522000</v>
      </c>
      <c r="U44" s="16">
        <v>0</v>
      </c>
      <c r="V44" s="420">
        <f t="shared" si="25"/>
        <v>522000</v>
      </c>
      <c r="W44" s="32" t="s">
        <v>26</v>
      </c>
      <c r="X44" s="33" t="s">
        <v>1035</v>
      </c>
      <c r="Y44" s="18">
        <f t="shared" si="26"/>
        <v>16</v>
      </c>
      <c r="Z44" s="37">
        <v>522000</v>
      </c>
      <c r="AA44" s="435">
        <f>'Calculator Impact  2025'!$Q$97</f>
        <v>9</v>
      </c>
      <c r="AB44" s="413">
        <f t="shared" si="27"/>
        <v>0.81</v>
      </c>
      <c r="AC44" s="414">
        <v>0</v>
      </c>
      <c r="AD44" s="413">
        <f t="shared" si="29"/>
        <v>0.81</v>
      </c>
      <c r="AE44" s="414">
        <v>0</v>
      </c>
      <c r="AF44" s="414">
        <v>0</v>
      </c>
      <c r="AG44" s="383" t="s">
        <v>27</v>
      </c>
      <c r="AH44" s="385">
        <v>0</v>
      </c>
      <c r="AI44" s="383" t="s">
        <v>27</v>
      </c>
      <c r="AJ44" s="385">
        <f t="shared" si="30"/>
        <v>0</v>
      </c>
      <c r="AK44" s="385">
        <v>0</v>
      </c>
      <c r="AL44" s="388"/>
      <c r="AM44" s="379">
        <f t="shared" si="46"/>
        <v>0</v>
      </c>
      <c r="AN44" s="51">
        <v>0</v>
      </c>
      <c r="AO44" s="29">
        <f t="shared" si="32"/>
        <v>1</v>
      </c>
      <c r="AP44" s="443"/>
      <c r="AQ44" s="443" t="s">
        <v>1036</v>
      </c>
      <c r="AR44" s="444">
        <f t="shared" si="33"/>
        <v>10</v>
      </c>
      <c r="AS44" s="439" t="s">
        <v>1036</v>
      </c>
      <c r="AT44" s="439"/>
      <c r="AU44" s="440"/>
      <c r="AV44" s="440"/>
      <c r="AW44" s="439"/>
      <c r="AX44" s="440">
        <f t="shared" si="34"/>
        <v>5</v>
      </c>
      <c r="AY44" s="34"/>
      <c r="AZ44" s="34" t="s">
        <v>1036</v>
      </c>
      <c r="BA44" s="447"/>
      <c r="BB44" s="447"/>
      <c r="BC44" s="447"/>
      <c r="BD44" s="447"/>
      <c r="BE44" s="448">
        <f t="shared" si="35"/>
        <v>0</v>
      </c>
      <c r="BF44" s="611"/>
      <c r="BG44" s="611"/>
      <c r="BH44" s="611"/>
      <c r="BI44" s="611"/>
      <c r="BJ44" s="451">
        <f t="shared" si="36"/>
        <v>3.2</v>
      </c>
      <c r="BK44" s="452">
        <f t="shared" si="37"/>
        <v>1.6</v>
      </c>
      <c r="BL44" s="453">
        <f t="shared" si="38"/>
        <v>0.8</v>
      </c>
      <c r="BM44" s="437">
        <f t="shared" si="39"/>
        <v>0</v>
      </c>
      <c r="BN44" s="454">
        <f t="shared" si="40"/>
        <v>3.2</v>
      </c>
      <c r="BO44" s="455">
        <f t="shared" si="41"/>
        <v>1.92</v>
      </c>
      <c r="BP44" s="456">
        <f t="shared" si="42"/>
        <v>5</v>
      </c>
      <c r="BQ44" s="453">
        <f t="shared" si="43"/>
        <v>0</v>
      </c>
      <c r="BR44" s="453"/>
      <c r="BS44" s="13">
        <f t="shared" si="44"/>
        <v>0</v>
      </c>
      <c r="BT44" s="451">
        <f t="shared" si="45"/>
        <v>31.72</v>
      </c>
      <c r="BU44" s="33"/>
      <c r="BV44" s="107" t="s">
        <v>1066</v>
      </c>
      <c r="BW44" s="107"/>
    </row>
    <row r="45" spans="1:75" s="20" customFormat="1" ht="77.5" x14ac:dyDescent="0.25">
      <c r="A45" s="471">
        <v>23</v>
      </c>
      <c r="B45" s="472">
        <f t="shared" si="23"/>
        <v>29.48</v>
      </c>
      <c r="C45" s="473" t="s">
        <v>961</v>
      </c>
      <c r="D45" s="473" t="s">
        <v>1119</v>
      </c>
      <c r="E45" s="416" t="s">
        <v>929</v>
      </c>
      <c r="F45" s="416" t="s">
        <v>962</v>
      </c>
      <c r="G45" s="416"/>
      <c r="H45" s="416"/>
      <c r="I45" s="416"/>
      <c r="J45" s="161"/>
      <c r="K45" s="51">
        <f>'Calculator Impact  2025'!O77</f>
        <v>588</v>
      </c>
      <c r="L45" s="51">
        <f>'Calculator Impact  2025'!E77</f>
        <v>73611</v>
      </c>
      <c r="M45" s="433">
        <f>'Calculator Impact  2025'!P77</f>
        <v>8.0000000000000002E-3</v>
      </c>
      <c r="N45" s="200">
        <v>45536</v>
      </c>
      <c r="O45" s="33">
        <v>14</v>
      </c>
      <c r="P45" s="61" t="s">
        <v>26</v>
      </c>
      <c r="Q45" s="61" t="s">
        <v>26</v>
      </c>
      <c r="R45" s="15">
        <v>2900000</v>
      </c>
      <c r="S45" s="31">
        <v>0</v>
      </c>
      <c r="T45" s="17">
        <f t="shared" si="24"/>
        <v>2900000</v>
      </c>
      <c r="U45" s="16">
        <v>10000</v>
      </c>
      <c r="V45" s="420">
        <f t="shared" si="25"/>
        <v>2910000</v>
      </c>
      <c r="W45" s="32" t="s">
        <v>26</v>
      </c>
      <c r="X45" s="33" t="s">
        <v>1035</v>
      </c>
      <c r="Y45" s="18">
        <f t="shared" si="26"/>
        <v>16</v>
      </c>
      <c r="Z45" s="37">
        <v>2900000</v>
      </c>
      <c r="AA45" s="435">
        <f>'Calculator Impact  2025'!$Q$77</f>
        <v>7.16</v>
      </c>
      <c r="AB45" s="413">
        <f t="shared" si="27"/>
        <v>0.51270000000000004</v>
      </c>
      <c r="AC45" s="414">
        <v>0</v>
      </c>
      <c r="AD45" s="413">
        <f t="shared" si="29"/>
        <v>0.51270000000000004</v>
      </c>
      <c r="AE45" s="414">
        <v>0</v>
      </c>
      <c r="AF45" s="414">
        <v>0</v>
      </c>
      <c r="AG45" s="383" t="s">
        <v>26</v>
      </c>
      <c r="AH45" s="385">
        <v>0</v>
      </c>
      <c r="AI45" s="383" t="s">
        <v>27</v>
      </c>
      <c r="AJ45" s="385">
        <f t="shared" si="30"/>
        <v>0</v>
      </c>
      <c r="AK45" s="385">
        <v>0</v>
      </c>
      <c r="AL45" s="386"/>
      <c r="AM45" s="379">
        <f t="shared" si="46"/>
        <v>0</v>
      </c>
      <c r="AN45" s="51">
        <v>0</v>
      </c>
      <c r="AO45" s="29">
        <f t="shared" si="32"/>
        <v>1</v>
      </c>
      <c r="AP45" s="443"/>
      <c r="AQ45" s="443"/>
      <c r="AR45" s="444">
        <f t="shared" si="33"/>
        <v>0</v>
      </c>
      <c r="AS45" s="439" t="s">
        <v>1036</v>
      </c>
      <c r="AT45" s="439"/>
      <c r="AU45" s="440"/>
      <c r="AV45" s="440"/>
      <c r="AW45" s="439"/>
      <c r="AX45" s="440">
        <f t="shared" si="34"/>
        <v>5</v>
      </c>
      <c r="AY45" s="34"/>
      <c r="AZ45" s="34"/>
      <c r="BA45" s="447"/>
      <c r="BB45" s="447"/>
      <c r="BC45" s="447"/>
      <c r="BD45" s="447"/>
      <c r="BE45" s="448">
        <f t="shared" si="35"/>
        <v>0</v>
      </c>
      <c r="BF45" s="611"/>
      <c r="BG45" s="611"/>
      <c r="BH45" s="611"/>
      <c r="BI45" s="611"/>
      <c r="BJ45" s="451">
        <f t="shared" si="36"/>
        <v>3.2</v>
      </c>
      <c r="BK45" s="452">
        <f t="shared" si="37"/>
        <v>0</v>
      </c>
      <c r="BL45" s="453">
        <f t="shared" si="38"/>
        <v>0.8</v>
      </c>
      <c r="BM45" s="437">
        <f t="shared" si="39"/>
        <v>0</v>
      </c>
      <c r="BN45" s="454">
        <f t="shared" si="40"/>
        <v>0</v>
      </c>
      <c r="BO45" s="455">
        <f t="shared" si="41"/>
        <v>4.4800000000000004</v>
      </c>
      <c r="BP45" s="456">
        <f t="shared" si="42"/>
        <v>5</v>
      </c>
      <c r="BQ45" s="453">
        <f t="shared" si="43"/>
        <v>0</v>
      </c>
      <c r="BR45" s="453"/>
      <c r="BS45" s="13">
        <f t="shared" si="44"/>
        <v>0</v>
      </c>
      <c r="BT45" s="451">
        <f t="shared" si="45"/>
        <v>29.48</v>
      </c>
      <c r="BU45" s="33"/>
      <c r="BV45" s="107" t="s">
        <v>1082</v>
      </c>
      <c r="BW45" s="107"/>
    </row>
    <row r="46" spans="1:75" s="20" customFormat="1" ht="223.5" customHeight="1" x14ac:dyDescent="0.25">
      <c r="A46" s="555">
        <v>49</v>
      </c>
      <c r="B46" s="556">
        <f t="shared" si="23"/>
        <v>32.5</v>
      </c>
      <c r="C46" s="557" t="s">
        <v>990</v>
      </c>
      <c r="D46" s="557"/>
      <c r="E46" s="557" t="s">
        <v>932</v>
      </c>
      <c r="F46" s="557" t="s">
        <v>1207</v>
      </c>
      <c r="G46" s="557"/>
      <c r="H46" s="416"/>
      <c r="I46" s="416"/>
      <c r="J46" s="161"/>
      <c r="K46" s="51">
        <f>'Calculator Impact  2025'!O146</f>
        <v>680</v>
      </c>
      <c r="L46" s="51">
        <f>'Calculator Impact  2025'!E146</f>
        <v>74286</v>
      </c>
      <c r="M46" s="433">
        <f>'Calculator Impact  2025'!P146</f>
        <v>9.1999999999999998E-3</v>
      </c>
      <c r="N46" s="200">
        <v>46266</v>
      </c>
      <c r="O46" s="33">
        <v>0</v>
      </c>
      <c r="P46" s="61" t="s">
        <v>26</v>
      </c>
      <c r="Q46" s="61" t="s">
        <v>26</v>
      </c>
      <c r="R46" s="15">
        <v>9000000</v>
      </c>
      <c r="S46" s="31">
        <v>0</v>
      </c>
      <c r="T46" s="17">
        <f t="shared" si="24"/>
        <v>9000000</v>
      </c>
      <c r="U46" s="16">
        <v>0</v>
      </c>
      <c r="V46" s="17">
        <f t="shared" si="25"/>
        <v>9000000</v>
      </c>
      <c r="W46" s="32" t="s">
        <v>26</v>
      </c>
      <c r="X46" s="33" t="s">
        <v>1044</v>
      </c>
      <c r="Y46" s="18">
        <f t="shared" si="26"/>
        <v>22</v>
      </c>
      <c r="Z46" s="37">
        <v>0</v>
      </c>
      <c r="AA46" s="435">
        <f>'Calculator Impact  2025'!$Q$146</f>
        <v>3.59</v>
      </c>
      <c r="AB46" s="413">
        <f t="shared" si="27"/>
        <v>0</v>
      </c>
      <c r="AC46" s="414">
        <f>ROUND(IF(AB46*T46&gt;=1000000,1000000,AB46*T46),0)</f>
        <v>0</v>
      </c>
      <c r="AD46" s="413">
        <f t="shared" si="29"/>
        <v>0</v>
      </c>
      <c r="AE46" s="414">
        <f>ROUND(IF(AD46*V46&gt;=1000000,1000000,AD46*V46),0)</f>
        <v>0</v>
      </c>
      <c r="AF46" s="414">
        <v>526720</v>
      </c>
      <c r="AG46" s="383" t="s">
        <v>27</v>
      </c>
      <c r="AH46" s="385">
        <v>0</v>
      </c>
      <c r="AI46" s="383" t="s">
        <v>27</v>
      </c>
      <c r="AJ46" s="385">
        <f t="shared" si="30"/>
        <v>0</v>
      </c>
      <c r="AK46" s="385">
        <f>Z46+AJ46</f>
        <v>0</v>
      </c>
      <c r="AL46" s="387"/>
      <c r="AM46" s="379">
        <f t="shared" si="46"/>
        <v>0</v>
      </c>
      <c r="AN46" s="51">
        <v>0</v>
      </c>
      <c r="AO46" s="29">
        <f t="shared" si="32"/>
        <v>0</v>
      </c>
      <c r="AP46" s="443"/>
      <c r="AQ46" s="443"/>
      <c r="AR46" s="444">
        <f t="shared" si="33"/>
        <v>0</v>
      </c>
      <c r="AS46" s="439"/>
      <c r="AT46" s="439" t="s">
        <v>1036</v>
      </c>
      <c r="AU46" s="439"/>
      <c r="AV46" s="440"/>
      <c r="AW46" s="439"/>
      <c r="AX46" s="440">
        <f t="shared" si="34"/>
        <v>10</v>
      </c>
      <c r="AY46" s="34" t="s">
        <v>1036</v>
      </c>
      <c r="AZ46" s="34"/>
      <c r="BA46" s="447"/>
      <c r="BB46" s="447"/>
      <c r="BC46" s="447"/>
      <c r="BD46" s="447"/>
      <c r="BE46" s="448">
        <f t="shared" si="35"/>
        <v>0</v>
      </c>
      <c r="BF46" s="611"/>
      <c r="BG46" s="611"/>
      <c r="BH46" s="611"/>
      <c r="BI46" s="611"/>
      <c r="BJ46" s="451">
        <f t="shared" si="36"/>
        <v>0</v>
      </c>
      <c r="BK46" s="452">
        <f t="shared" si="37"/>
        <v>0</v>
      </c>
      <c r="BL46" s="453">
        <f t="shared" si="38"/>
        <v>2.2000000000000002</v>
      </c>
      <c r="BM46" s="437">
        <f t="shared" si="39"/>
        <v>3.3</v>
      </c>
      <c r="BN46" s="454">
        <f t="shared" si="40"/>
        <v>0</v>
      </c>
      <c r="BO46" s="455">
        <f t="shared" si="41"/>
        <v>0</v>
      </c>
      <c r="BP46" s="456">
        <f t="shared" si="42"/>
        <v>5</v>
      </c>
      <c r="BQ46" s="453">
        <f t="shared" si="43"/>
        <v>0</v>
      </c>
      <c r="BR46" s="453"/>
      <c r="BS46" s="13">
        <f t="shared" si="44"/>
        <v>0</v>
      </c>
      <c r="BT46" s="451">
        <f t="shared" si="45"/>
        <v>32.5</v>
      </c>
      <c r="BU46" s="33"/>
    </row>
    <row r="47" spans="1:75" s="20" customFormat="1" ht="70.5" customHeight="1" x14ac:dyDescent="0.25">
      <c r="A47" s="555">
        <v>52</v>
      </c>
      <c r="B47" s="556">
        <f t="shared" si="23"/>
        <v>30.783999999999999</v>
      </c>
      <c r="C47" s="557" t="s">
        <v>995</v>
      </c>
      <c r="D47" s="557" t="s">
        <v>1067</v>
      </c>
      <c r="E47" s="557" t="s">
        <v>932</v>
      </c>
      <c r="F47" s="557" t="s">
        <v>1208</v>
      </c>
      <c r="G47" s="557"/>
      <c r="H47" s="416"/>
      <c r="I47" s="416"/>
      <c r="J47" s="161"/>
      <c r="K47" s="51">
        <f>'Calculator Impact  2025'!O164</f>
        <v>522</v>
      </c>
      <c r="L47" s="51">
        <f>'Calculator Impact  2025'!E164</f>
        <v>75705</v>
      </c>
      <c r="M47" s="433">
        <f>'Calculator Impact  2025'!P164</f>
        <v>6.8999999999999999E-3</v>
      </c>
      <c r="N47" s="200">
        <v>46266</v>
      </c>
      <c r="O47" s="33">
        <v>0</v>
      </c>
      <c r="P47" s="61" t="s">
        <v>26</v>
      </c>
      <c r="Q47" s="61" t="s">
        <v>26</v>
      </c>
      <c r="R47" s="15">
        <v>10000000</v>
      </c>
      <c r="S47" s="31">
        <v>0</v>
      </c>
      <c r="T47" s="17">
        <f t="shared" si="24"/>
        <v>10000000</v>
      </c>
      <c r="U47" s="16">
        <v>0</v>
      </c>
      <c r="V47" s="17">
        <f t="shared" si="25"/>
        <v>10000000</v>
      </c>
      <c r="W47" s="32" t="s">
        <v>26</v>
      </c>
      <c r="X47" s="33" t="s">
        <v>1044</v>
      </c>
      <c r="Y47" s="18">
        <f t="shared" si="26"/>
        <v>22</v>
      </c>
      <c r="Z47" s="37">
        <v>3600000</v>
      </c>
      <c r="AA47" s="435">
        <f>'Calculator Impact  2025'!$Q$164</f>
        <v>3.34</v>
      </c>
      <c r="AB47" s="413">
        <f t="shared" si="27"/>
        <v>0</v>
      </c>
      <c r="AC47" s="414">
        <f>ROUND(IF(AB47*T47&gt;=1000000,1000000,AB47*T47),0)</f>
        <v>0</v>
      </c>
      <c r="AD47" s="413">
        <f t="shared" si="29"/>
        <v>0</v>
      </c>
      <c r="AE47" s="414">
        <f>ROUND(IF(AD47*V47&gt;=1000000,1000000,AD47*V47),0)</f>
        <v>0</v>
      </c>
      <c r="AF47" s="414">
        <v>526720</v>
      </c>
      <c r="AG47" s="383" t="s">
        <v>27</v>
      </c>
      <c r="AH47" s="385">
        <v>0</v>
      </c>
      <c r="AI47" s="383" t="s">
        <v>27</v>
      </c>
      <c r="AJ47" s="385">
        <f t="shared" si="30"/>
        <v>0</v>
      </c>
      <c r="AK47" s="385">
        <v>0</v>
      </c>
      <c r="AL47" s="386"/>
      <c r="AM47" s="379">
        <f t="shared" si="46"/>
        <v>0</v>
      </c>
      <c r="AN47" s="51">
        <v>0</v>
      </c>
      <c r="AO47" s="29">
        <f t="shared" si="32"/>
        <v>0.36</v>
      </c>
      <c r="AP47" s="444"/>
      <c r="AQ47" s="443"/>
      <c r="AR47" s="444">
        <f t="shared" si="33"/>
        <v>0</v>
      </c>
      <c r="AS47" s="439"/>
      <c r="AT47" s="439" t="s">
        <v>1036</v>
      </c>
      <c r="AU47" s="440"/>
      <c r="AV47" s="440"/>
      <c r="AW47" s="439"/>
      <c r="AX47" s="440">
        <f t="shared" si="34"/>
        <v>10</v>
      </c>
      <c r="AY47" s="34"/>
      <c r="AZ47" s="34"/>
      <c r="BA47" s="447"/>
      <c r="BB47" s="447"/>
      <c r="BC47" s="447"/>
      <c r="BD47" s="447"/>
      <c r="BE47" s="448">
        <f t="shared" si="35"/>
        <v>0</v>
      </c>
      <c r="BF47" s="611"/>
      <c r="BG47" s="611"/>
      <c r="BH47" s="611"/>
      <c r="BI47" s="611"/>
      <c r="BJ47" s="451">
        <f t="shared" si="36"/>
        <v>1.5839999999999999</v>
      </c>
      <c r="BK47" s="452">
        <f t="shared" si="37"/>
        <v>0</v>
      </c>
      <c r="BL47" s="453">
        <f t="shared" si="38"/>
        <v>2.2000000000000002</v>
      </c>
      <c r="BM47" s="437">
        <f t="shared" si="39"/>
        <v>0</v>
      </c>
      <c r="BN47" s="454">
        <f t="shared" si="40"/>
        <v>0</v>
      </c>
      <c r="BO47" s="455">
        <f t="shared" si="41"/>
        <v>0</v>
      </c>
      <c r="BP47" s="456">
        <f t="shared" si="42"/>
        <v>5</v>
      </c>
      <c r="BQ47" s="453">
        <f t="shared" si="43"/>
        <v>0</v>
      </c>
      <c r="BR47" s="453"/>
      <c r="BS47" s="13">
        <f t="shared" si="44"/>
        <v>0</v>
      </c>
      <c r="BT47" s="451">
        <f t="shared" si="45"/>
        <v>30.783999999999999</v>
      </c>
      <c r="BU47" s="33"/>
      <c r="BV47" s="107"/>
    </row>
    <row r="48" spans="1:75" s="20" customFormat="1" ht="31" x14ac:dyDescent="0.25">
      <c r="A48" s="431">
        <v>22</v>
      </c>
      <c r="B48" s="145">
        <f t="shared" si="23"/>
        <v>25.92</v>
      </c>
      <c r="C48" s="416" t="s">
        <v>959</v>
      </c>
      <c r="D48" s="416" t="s">
        <v>1017</v>
      </c>
      <c r="E48" s="416" t="s">
        <v>927</v>
      </c>
      <c r="F48" s="416" t="s">
        <v>960</v>
      </c>
      <c r="G48" s="416"/>
      <c r="H48" s="416"/>
      <c r="I48" s="416"/>
      <c r="J48" s="161"/>
      <c r="K48" s="51">
        <f>'Calculator Impact  2025'!O75</f>
        <v>475</v>
      </c>
      <c r="L48" s="51">
        <f>'Calculator Impact  2025'!E75</f>
        <v>48909</v>
      </c>
      <c r="M48" s="433">
        <f>'Calculator Impact  2025'!P75</f>
        <v>9.7000000000000003E-3</v>
      </c>
      <c r="N48" s="200">
        <v>45219</v>
      </c>
      <c r="O48" s="33">
        <v>16</v>
      </c>
      <c r="P48" s="61" t="s">
        <v>26</v>
      </c>
      <c r="Q48" s="61" t="s">
        <v>27</v>
      </c>
      <c r="R48" s="15">
        <v>771126</v>
      </c>
      <c r="S48" s="31">
        <v>391126</v>
      </c>
      <c r="T48" s="17">
        <f t="shared" si="24"/>
        <v>380000</v>
      </c>
      <c r="U48" s="16">
        <v>0</v>
      </c>
      <c r="V48" s="420">
        <f t="shared" si="25"/>
        <v>380000</v>
      </c>
      <c r="W48" s="32" t="s">
        <v>26</v>
      </c>
      <c r="X48" s="33" t="s">
        <v>1035</v>
      </c>
      <c r="Y48" s="18">
        <f t="shared" si="26"/>
        <v>16</v>
      </c>
      <c r="Z48" s="37">
        <v>0</v>
      </c>
      <c r="AA48" s="435">
        <f>'Calculator Impact  2025'!$Q$75</f>
        <v>8.9700000000000006</v>
      </c>
      <c r="AB48" s="413">
        <f t="shared" si="27"/>
        <v>0.80459999999999998</v>
      </c>
      <c r="AC48" s="414">
        <v>0</v>
      </c>
      <c r="AD48" s="413">
        <f t="shared" si="29"/>
        <v>0.80459999999999998</v>
      </c>
      <c r="AE48" s="414">
        <v>0</v>
      </c>
      <c r="AF48" s="414">
        <v>0</v>
      </c>
      <c r="AG48" s="383" t="s">
        <v>27</v>
      </c>
      <c r="AH48" s="385">
        <v>0</v>
      </c>
      <c r="AI48" s="383" t="s">
        <v>27</v>
      </c>
      <c r="AJ48" s="385">
        <f t="shared" si="30"/>
        <v>0</v>
      </c>
      <c r="AK48" s="385">
        <f>Z48+AJ48</f>
        <v>0</v>
      </c>
      <c r="AL48" s="387"/>
      <c r="AM48" s="379">
        <f t="shared" si="46"/>
        <v>0</v>
      </c>
      <c r="AN48" s="51">
        <v>0</v>
      </c>
      <c r="AO48" s="29">
        <f t="shared" si="32"/>
        <v>0</v>
      </c>
      <c r="AP48" s="443"/>
      <c r="AQ48" s="443"/>
      <c r="AR48" s="444">
        <f t="shared" si="33"/>
        <v>0</v>
      </c>
      <c r="AS48" s="439"/>
      <c r="AT48" s="439" t="s">
        <v>1036</v>
      </c>
      <c r="AU48" s="439"/>
      <c r="AV48" s="440"/>
      <c r="AW48" s="439"/>
      <c r="AX48" s="440">
        <f t="shared" si="34"/>
        <v>10</v>
      </c>
      <c r="AY48" s="34"/>
      <c r="AZ48" s="34" t="s">
        <v>1036</v>
      </c>
      <c r="BA48" s="447"/>
      <c r="BB48" s="447"/>
      <c r="BC48" s="447"/>
      <c r="BD48" s="447"/>
      <c r="BE48" s="448">
        <f t="shared" si="35"/>
        <v>0</v>
      </c>
      <c r="BF48" s="611"/>
      <c r="BG48" s="611"/>
      <c r="BH48" s="611"/>
      <c r="BI48" s="611"/>
      <c r="BJ48" s="451">
        <f t="shared" si="36"/>
        <v>0</v>
      </c>
      <c r="BK48" s="452">
        <f t="shared" si="37"/>
        <v>0</v>
      </c>
      <c r="BL48" s="453">
        <f t="shared" si="38"/>
        <v>1.6</v>
      </c>
      <c r="BM48" s="437">
        <f t="shared" si="39"/>
        <v>0</v>
      </c>
      <c r="BN48" s="454">
        <f t="shared" si="40"/>
        <v>3.2</v>
      </c>
      <c r="BO48" s="455">
        <f t="shared" si="41"/>
        <v>5.12</v>
      </c>
      <c r="BP48" s="456">
        <f t="shared" si="42"/>
        <v>0</v>
      </c>
      <c r="BQ48" s="453">
        <f t="shared" si="43"/>
        <v>0</v>
      </c>
      <c r="BR48" s="453"/>
      <c r="BS48" s="13">
        <f t="shared" si="44"/>
        <v>0</v>
      </c>
      <c r="BT48" s="451">
        <f t="shared" si="45"/>
        <v>25.92</v>
      </c>
      <c r="BU48" s="33"/>
    </row>
    <row r="49" spans="1:75" s="20" customFormat="1" ht="31" x14ac:dyDescent="0.25">
      <c r="A49" s="431">
        <v>2</v>
      </c>
      <c r="B49" s="145">
        <f t="shared" si="23"/>
        <v>26.28</v>
      </c>
      <c r="C49" s="416" t="s">
        <v>934</v>
      </c>
      <c r="D49" s="416" t="s">
        <v>1037</v>
      </c>
      <c r="E49" s="416" t="s">
        <v>930</v>
      </c>
      <c r="F49" s="416" t="s">
        <v>935</v>
      </c>
      <c r="G49" s="416"/>
      <c r="H49" s="416"/>
      <c r="I49" s="416"/>
      <c r="J49" s="161"/>
      <c r="K49" s="51">
        <f>'Calculator Impact  2025'!O14</f>
        <v>341</v>
      </c>
      <c r="L49" s="51">
        <f>'Calculator Impact  2025'!E14</f>
        <v>59659</v>
      </c>
      <c r="M49" s="433">
        <f>'Calculator Impact  2025'!P14</f>
        <v>5.7000000000000002E-3</v>
      </c>
      <c r="N49" s="200">
        <v>45536</v>
      </c>
      <c r="O49" s="33">
        <v>14</v>
      </c>
      <c r="P49" s="61" t="s">
        <v>26</v>
      </c>
      <c r="Q49" s="61" t="s">
        <v>26</v>
      </c>
      <c r="R49" s="15">
        <v>1361000</v>
      </c>
      <c r="S49" s="31">
        <v>0</v>
      </c>
      <c r="T49" s="17">
        <f t="shared" si="24"/>
        <v>1361000</v>
      </c>
      <c r="U49" s="16">
        <v>0</v>
      </c>
      <c r="V49" s="420">
        <f t="shared" si="25"/>
        <v>1361000</v>
      </c>
      <c r="W49" s="32" t="s">
        <v>26</v>
      </c>
      <c r="X49" s="33" t="s">
        <v>1035</v>
      </c>
      <c r="Y49" s="18">
        <f t="shared" si="26"/>
        <v>16</v>
      </c>
      <c r="Z49" s="37">
        <v>0</v>
      </c>
      <c r="AA49" s="435">
        <f>'Calculator Impact  2025'!$Q$14</f>
        <v>4.7699999999999996</v>
      </c>
      <c r="AB49" s="413">
        <f t="shared" si="27"/>
        <v>0</v>
      </c>
      <c r="AC49" s="414">
        <f>ROUND(IF(AB49*T49&gt;=1000000,1000000,AB49*T49),0)</f>
        <v>0</v>
      </c>
      <c r="AD49" s="413">
        <f t="shared" si="29"/>
        <v>0</v>
      </c>
      <c r="AE49" s="414">
        <f>ROUND(IF(AD49*V49&gt;=1000000,1000000,AD49*V49),0)</f>
        <v>0</v>
      </c>
      <c r="AF49" s="414">
        <v>0</v>
      </c>
      <c r="AG49" s="383" t="s">
        <v>27</v>
      </c>
      <c r="AH49" s="385">
        <v>0</v>
      </c>
      <c r="AI49" s="383" t="s">
        <v>26</v>
      </c>
      <c r="AJ49" s="385">
        <v>0</v>
      </c>
      <c r="AK49" s="385">
        <f>Z49+AJ49</f>
        <v>0</v>
      </c>
      <c r="AL49" s="386"/>
      <c r="AM49" s="379">
        <f t="shared" si="46"/>
        <v>0</v>
      </c>
      <c r="AN49" s="51">
        <v>0</v>
      </c>
      <c r="AO49" s="29">
        <f t="shared" si="32"/>
        <v>0</v>
      </c>
      <c r="AP49" s="443"/>
      <c r="AQ49" s="443"/>
      <c r="AR49" s="444">
        <f t="shared" si="33"/>
        <v>0</v>
      </c>
      <c r="AS49" s="439" t="s">
        <v>1036</v>
      </c>
      <c r="AT49" s="439"/>
      <c r="AU49" s="440"/>
      <c r="AV49" s="440"/>
      <c r="AW49" s="439"/>
      <c r="AX49" s="440">
        <f t="shared" si="34"/>
        <v>5</v>
      </c>
      <c r="AY49" s="34"/>
      <c r="AZ49" s="34"/>
      <c r="BA49" s="447"/>
      <c r="BB49" s="447"/>
      <c r="BC49" s="447"/>
      <c r="BD49" s="447"/>
      <c r="BE49" s="448">
        <f t="shared" si="35"/>
        <v>0</v>
      </c>
      <c r="BF49" s="611"/>
      <c r="BG49" s="611"/>
      <c r="BH49" s="611"/>
      <c r="BI49" s="611"/>
      <c r="BJ49" s="451">
        <f t="shared" si="36"/>
        <v>0</v>
      </c>
      <c r="BK49" s="452">
        <f t="shared" si="37"/>
        <v>0</v>
      </c>
      <c r="BL49" s="453">
        <f t="shared" si="38"/>
        <v>0.8</v>
      </c>
      <c r="BM49" s="437">
        <f t="shared" si="39"/>
        <v>0</v>
      </c>
      <c r="BN49" s="454">
        <f t="shared" si="40"/>
        <v>0</v>
      </c>
      <c r="BO49" s="455">
        <f t="shared" si="41"/>
        <v>4.4800000000000004</v>
      </c>
      <c r="BP49" s="456">
        <f t="shared" si="42"/>
        <v>5</v>
      </c>
      <c r="BQ49" s="453">
        <f t="shared" si="43"/>
        <v>0</v>
      </c>
      <c r="BR49" s="453"/>
      <c r="BS49" s="13">
        <f t="shared" si="44"/>
        <v>0</v>
      </c>
      <c r="BT49" s="451">
        <f t="shared" si="45"/>
        <v>26.28</v>
      </c>
      <c r="BU49" s="33"/>
    </row>
    <row r="50" spans="1:75" s="20" customFormat="1" ht="79.5" customHeight="1" x14ac:dyDescent="0.25">
      <c r="A50" s="430">
        <v>9</v>
      </c>
      <c r="B50" s="145">
        <f t="shared" si="23"/>
        <v>29.527960734642178</v>
      </c>
      <c r="C50" s="416" t="s">
        <v>945</v>
      </c>
      <c r="D50" s="416" t="s">
        <v>1075</v>
      </c>
      <c r="E50" s="416" t="s">
        <v>931</v>
      </c>
      <c r="F50" s="416" t="s">
        <v>1209</v>
      </c>
      <c r="G50" s="416"/>
      <c r="H50" s="416"/>
      <c r="I50" s="416"/>
      <c r="J50" s="161"/>
      <c r="K50" s="51">
        <f>'Calculator Impact  2025'!O30</f>
        <v>0</v>
      </c>
      <c r="L50" s="51">
        <f>'Calculator Impact  2025'!E30</f>
        <v>55893</v>
      </c>
      <c r="M50" s="433">
        <f>'Calculator Impact  2025'!P30</f>
        <v>0</v>
      </c>
      <c r="N50" s="200">
        <v>46447</v>
      </c>
      <c r="O50" s="33">
        <v>0</v>
      </c>
      <c r="P50" s="61" t="s">
        <v>27</v>
      </c>
      <c r="Q50" s="61" t="s">
        <v>27</v>
      </c>
      <c r="R50" s="15">
        <v>11053000</v>
      </c>
      <c r="S50" s="31">
        <v>0</v>
      </c>
      <c r="T50" s="17">
        <f t="shared" si="24"/>
        <v>11053000</v>
      </c>
      <c r="U50" s="16">
        <v>0</v>
      </c>
      <c r="V50" s="463">
        <f t="shared" si="25"/>
        <v>10000000</v>
      </c>
      <c r="W50" s="32" t="s">
        <v>26</v>
      </c>
      <c r="X50" s="33" t="s">
        <v>1045</v>
      </c>
      <c r="Y50" s="18">
        <f t="shared" si="26"/>
        <v>21</v>
      </c>
      <c r="Z50" s="37">
        <v>3100000</v>
      </c>
      <c r="AA50" s="435">
        <f>'Calculator Impact  2025'!$Q$30</f>
        <v>6.45</v>
      </c>
      <c r="AB50" s="413">
        <f t="shared" si="27"/>
        <v>0</v>
      </c>
      <c r="AC50" s="414">
        <f>ROUND(IF(AB50*T50&gt;=1000000,1000000,AB50*T50),0)</f>
        <v>0</v>
      </c>
      <c r="AD50" s="413">
        <f t="shared" si="29"/>
        <v>0.41599999999999998</v>
      </c>
      <c r="AE50" s="414">
        <v>0</v>
      </c>
      <c r="AF50" s="414">
        <v>0</v>
      </c>
      <c r="AG50" s="383" t="s">
        <v>27</v>
      </c>
      <c r="AH50" s="385">
        <v>0</v>
      </c>
      <c r="AI50" s="383" t="s">
        <v>27</v>
      </c>
      <c r="AJ50" s="385">
        <f t="shared" ref="AJ50:AJ65" si="47">IF(AI50="Yes",25000,0)</f>
        <v>0</v>
      </c>
      <c r="AK50" s="385">
        <v>0</v>
      </c>
      <c r="AL50" s="386"/>
      <c r="AM50" s="379">
        <f t="shared" si="46"/>
        <v>0</v>
      </c>
      <c r="AN50" s="51">
        <v>0</v>
      </c>
      <c r="AO50" s="29">
        <f t="shared" si="32"/>
        <v>0.28046684158147112</v>
      </c>
      <c r="AP50" s="444"/>
      <c r="AQ50" s="443"/>
      <c r="AR50" s="444">
        <f t="shared" si="33"/>
        <v>0</v>
      </c>
      <c r="AS50" s="439"/>
      <c r="AT50" s="439"/>
      <c r="AU50" s="439" t="s">
        <v>1036</v>
      </c>
      <c r="AV50" s="440"/>
      <c r="AW50" s="439"/>
      <c r="AX50" s="440">
        <f t="shared" si="34"/>
        <v>15</v>
      </c>
      <c r="AY50" s="34"/>
      <c r="AZ50" s="34" t="s">
        <v>1036</v>
      </c>
      <c r="BA50" s="447"/>
      <c r="BB50" s="447"/>
      <c r="BC50" s="447"/>
      <c r="BD50" s="447"/>
      <c r="BE50" s="448">
        <f t="shared" si="35"/>
        <v>0</v>
      </c>
      <c r="BF50" s="611"/>
      <c r="BG50" s="611"/>
      <c r="BH50" s="611"/>
      <c r="BI50" s="611"/>
      <c r="BJ50" s="451">
        <f t="shared" si="36"/>
        <v>1.1779607346421788</v>
      </c>
      <c r="BK50" s="452">
        <f t="shared" si="37"/>
        <v>0</v>
      </c>
      <c r="BL50" s="453">
        <f t="shared" si="38"/>
        <v>3.15</v>
      </c>
      <c r="BM50" s="437">
        <f t="shared" si="39"/>
        <v>0</v>
      </c>
      <c r="BN50" s="454">
        <f t="shared" si="40"/>
        <v>4.2</v>
      </c>
      <c r="BO50" s="455">
        <f t="shared" si="41"/>
        <v>0</v>
      </c>
      <c r="BP50" s="456">
        <f t="shared" si="42"/>
        <v>0</v>
      </c>
      <c r="BQ50" s="453">
        <f t="shared" si="43"/>
        <v>0</v>
      </c>
      <c r="BR50" s="453"/>
      <c r="BS50" s="13">
        <f t="shared" si="44"/>
        <v>0</v>
      </c>
      <c r="BT50" s="451">
        <f t="shared" si="45"/>
        <v>29.527960734642178</v>
      </c>
      <c r="BU50" s="33"/>
    </row>
    <row r="51" spans="1:75" s="20" customFormat="1" ht="46.5" x14ac:dyDescent="0.25">
      <c r="A51" s="471">
        <v>31</v>
      </c>
      <c r="B51" s="472">
        <f t="shared" si="23"/>
        <v>27.4</v>
      </c>
      <c r="C51" s="473" t="s">
        <v>971</v>
      </c>
      <c r="D51" s="473" t="s">
        <v>1053</v>
      </c>
      <c r="E51" s="416" t="s">
        <v>927</v>
      </c>
      <c r="F51" s="416" t="s">
        <v>1210</v>
      </c>
      <c r="G51" s="416"/>
      <c r="H51" s="416"/>
      <c r="I51" s="416"/>
      <c r="J51" s="161"/>
      <c r="K51" s="51">
        <f>'Calculator Impact  2025'!O98</f>
        <v>547</v>
      </c>
      <c r="L51" s="51">
        <f>'Calculator Impact  2025'!E98</f>
        <v>42344</v>
      </c>
      <c r="M51" s="433">
        <f>'Calculator Impact  2025'!P98</f>
        <v>1.29E-2</v>
      </c>
      <c r="N51" s="200">
        <v>45809</v>
      </c>
      <c r="O51" s="33">
        <v>5</v>
      </c>
      <c r="P51" s="61" t="s">
        <v>26</v>
      </c>
      <c r="Q51" s="61" t="s">
        <v>26</v>
      </c>
      <c r="R51" s="15">
        <v>5838000</v>
      </c>
      <c r="S51" s="16">
        <v>3000000</v>
      </c>
      <c r="T51" s="17">
        <f t="shared" si="24"/>
        <v>2838000</v>
      </c>
      <c r="U51" s="16">
        <v>15000</v>
      </c>
      <c r="V51" s="420">
        <f t="shared" si="25"/>
        <v>2853000</v>
      </c>
      <c r="W51" s="32" t="s">
        <v>26</v>
      </c>
      <c r="X51" s="33" t="s">
        <v>1035</v>
      </c>
      <c r="Y51" s="18">
        <f t="shared" si="26"/>
        <v>16</v>
      </c>
      <c r="Z51" s="37">
        <v>0</v>
      </c>
      <c r="AA51" s="435">
        <f>'Calculator Impact  2025'!$Q$98</f>
        <v>7.66</v>
      </c>
      <c r="AB51" s="413">
        <f t="shared" si="27"/>
        <v>0.58679999999999999</v>
      </c>
      <c r="AC51" s="414">
        <v>0</v>
      </c>
      <c r="AD51" s="413">
        <f t="shared" si="29"/>
        <v>0.58679999999999999</v>
      </c>
      <c r="AE51" s="414">
        <v>0</v>
      </c>
      <c r="AF51" s="414">
        <v>0</v>
      </c>
      <c r="AG51" s="383" t="s">
        <v>26</v>
      </c>
      <c r="AH51" s="385">
        <v>0</v>
      </c>
      <c r="AI51" s="383" t="s">
        <v>27</v>
      </c>
      <c r="AJ51" s="385">
        <f t="shared" si="47"/>
        <v>0</v>
      </c>
      <c r="AK51" s="385">
        <f>Z51+AJ51</f>
        <v>0</v>
      </c>
      <c r="AL51" s="388"/>
      <c r="AM51" s="379">
        <f t="shared" si="46"/>
        <v>0</v>
      </c>
      <c r="AN51" s="51">
        <v>0</v>
      </c>
      <c r="AO51" s="29">
        <f t="shared" si="32"/>
        <v>0</v>
      </c>
      <c r="AP51" s="443"/>
      <c r="AQ51" s="443"/>
      <c r="AR51" s="444">
        <f t="shared" si="33"/>
        <v>0</v>
      </c>
      <c r="AS51" s="439"/>
      <c r="AT51" s="439" t="s">
        <v>1036</v>
      </c>
      <c r="AU51" s="440"/>
      <c r="AV51" s="440"/>
      <c r="AW51" s="439"/>
      <c r="AX51" s="440">
        <f t="shared" si="34"/>
        <v>10</v>
      </c>
      <c r="AY51" s="34"/>
      <c r="AZ51" s="34" t="s">
        <v>1036</v>
      </c>
      <c r="BA51" s="447"/>
      <c r="BB51" s="447"/>
      <c r="BC51" s="447"/>
      <c r="BD51" s="447"/>
      <c r="BE51" s="448">
        <f t="shared" si="35"/>
        <v>0</v>
      </c>
      <c r="BF51" s="611"/>
      <c r="BG51" s="611"/>
      <c r="BH51" s="611"/>
      <c r="BI51" s="611"/>
      <c r="BJ51" s="451">
        <f t="shared" si="36"/>
        <v>0</v>
      </c>
      <c r="BK51" s="452">
        <f t="shared" si="37"/>
        <v>0</v>
      </c>
      <c r="BL51" s="453">
        <f t="shared" si="38"/>
        <v>1.6</v>
      </c>
      <c r="BM51" s="437">
        <f t="shared" si="39"/>
        <v>0</v>
      </c>
      <c r="BN51" s="454">
        <f t="shared" si="40"/>
        <v>3.2</v>
      </c>
      <c r="BO51" s="455">
        <f t="shared" si="41"/>
        <v>1.6</v>
      </c>
      <c r="BP51" s="456">
        <f t="shared" si="42"/>
        <v>5</v>
      </c>
      <c r="BQ51" s="453">
        <f t="shared" si="43"/>
        <v>0</v>
      </c>
      <c r="BR51" s="453"/>
      <c r="BS51" s="13">
        <f t="shared" si="44"/>
        <v>0</v>
      </c>
      <c r="BT51" s="451">
        <f t="shared" si="45"/>
        <v>27.4</v>
      </c>
      <c r="BU51" s="33"/>
      <c r="BV51" s="107"/>
    </row>
    <row r="52" spans="1:75" s="20" customFormat="1" ht="87" customHeight="1" x14ac:dyDescent="0.25">
      <c r="A52" s="471">
        <v>51</v>
      </c>
      <c r="B52" s="472">
        <f t="shared" si="23"/>
        <v>25.454793597304128</v>
      </c>
      <c r="C52" s="473" t="s">
        <v>994</v>
      </c>
      <c r="D52" s="473" t="s">
        <v>986</v>
      </c>
      <c r="E52" s="416" t="s">
        <v>937</v>
      </c>
      <c r="F52" s="416" t="s">
        <v>1211</v>
      </c>
      <c r="G52" s="416"/>
      <c r="H52" s="416"/>
      <c r="I52" s="416"/>
      <c r="J52" s="161"/>
      <c r="K52" s="51">
        <f>'Calculator Impact  2025'!O159</f>
        <v>1055</v>
      </c>
      <c r="L52" s="51">
        <f>'Calculator Impact  2025'!E159</f>
        <v>73269</v>
      </c>
      <c r="M52" s="433">
        <f>'Calculator Impact  2025'!P159</f>
        <v>1.44E-2</v>
      </c>
      <c r="N52" s="200">
        <v>45778</v>
      </c>
      <c r="O52" s="33">
        <v>6</v>
      </c>
      <c r="P52" s="61" t="s">
        <v>26</v>
      </c>
      <c r="Q52" s="61" t="s">
        <v>26</v>
      </c>
      <c r="R52" s="15">
        <v>2374000</v>
      </c>
      <c r="S52" s="16">
        <v>0</v>
      </c>
      <c r="T52" s="17">
        <f t="shared" si="24"/>
        <v>2374000</v>
      </c>
      <c r="U52" s="16">
        <v>0</v>
      </c>
      <c r="V52" s="17">
        <f t="shared" si="25"/>
        <v>2374000</v>
      </c>
      <c r="W52" s="32" t="s">
        <v>26</v>
      </c>
      <c r="X52" s="33" t="s">
        <v>1035</v>
      </c>
      <c r="Y52" s="18">
        <f t="shared" si="26"/>
        <v>16</v>
      </c>
      <c r="Z52" s="37">
        <v>100000</v>
      </c>
      <c r="AA52" s="435">
        <f>'Calculator Impact  2025'!$Q$159</f>
        <v>3.52</v>
      </c>
      <c r="AB52" s="413">
        <f t="shared" si="27"/>
        <v>0</v>
      </c>
      <c r="AC52" s="414">
        <f>ROUND(IF(AB52*T52&gt;=1000000,1000000,AB52*T52),0)</f>
        <v>0</v>
      </c>
      <c r="AD52" s="413">
        <f t="shared" si="29"/>
        <v>0</v>
      </c>
      <c r="AE52" s="414">
        <f>ROUND(IF(AD52*V52&gt;=1000000,1000000,AD52*V52),0)</f>
        <v>0</v>
      </c>
      <c r="AF52" s="414">
        <v>0</v>
      </c>
      <c r="AG52" s="383" t="s">
        <v>27</v>
      </c>
      <c r="AH52" s="385">
        <v>0</v>
      </c>
      <c r="AI52" s="383" t="s">
        <v>27</v>
      </c>
      <c r="AJ52" s="385">
        <f t="shared" si="47"/>
        <v>0</v>
      </c>
      <c r="AK52" s="385">
        <v>0</v>
      </c>
      <c r="AL52" s="388"/>
      <c r="AM52" s="379">
        <f t="shared" si="46"/>
        <v>0</v>
      </c>
      <c r="AN52" s="51">
        <v>0</v>
      </c>
      <c r="AO52" s="29">
        <f t="shared" si="32"/>
        <v>4.2122999157540017E-2</v>
      </c>
      <c r="AP52" s="443"/>
      <c r="AQ52" s="443" t="s">
        <v>1036</v>
      </c>
      <c r="AR52" s="444">
        <f t="shared" si="33"/>
        <v>10</v>
      </c>
      <c r="AS52" s="439" t="s">
        <v>1036</v>
      </c>
      <c r="AT52" s="439"/>
      <c r="AU52" s="440"/>
      <c r="AV52" s="440"/>
      <c r="AW52" s="439"/>
      <c r="AX52" s="440">
        <f t="shared" si="34"/>
        <v>5</v>
      </c>
      <c r="AY52" s="34"/>
      <c r="AZ52" s="34"/>
      <c r="BA52" s="447"/>
      <c r="BB52" s="447"/>
      <c r="BC52" s="447"/>
      <c r="BD52" s="447"/>
      <c r="BE52" s="448">
        <f t="shared" si="35"/>
        <v>0</v>
      </c>
      <c r="BF52" s="611"/>
      <c r="BG52" s="611"/>
      <c r="BH52" s="611"/>
      <c r="BI52" s="611"/>
      <c r="BJ52" s="451">
        <f t="shared" si="36"/>
        <v>0.13479359730412807</v>
      </c>
      <c r="BK52" s="452">
        <f t="shared" si="37"/>
        <v>1.6</v>
      </c>
      <c r="BL52" s="453">
        <f t="shared" si="38"/>
        <v>0.8</v>
      </c>
      <c r="BM52" s="437">
        <f t="shared" si="39"/>
        <v>0</v>
      </c>
      <c r="BN52" s="454">
        <f t="shared" si="40"/>
        <v>0</v>
      </c>
      <c r="BO52" s="455">
        <f t="shared" si="41"/>
        <v>1.92</v>
      </c>
      <c r="BP52" s="456">
        <f t="shared" si="42"/>
        <v>5</v>
      </c>
      <c r="BQ52" s="453">
        <f t="shared" si="43"/>
        <v>0</v>
      </c>
      <c r="BR52" s="453"/>
      <c r="BS52" s="13">
        <f t="shared" si="44"/>
        <v>0</v>
      </c>
      <c r="BT52" s="451">
        <f t="shared" si="45"/>
        <v>25.454793597304128</v>
      </c>
      <c r="BU52" s="33"/>
      <c r="BV52" s="107" t="s">
        <v>1082</v>
      </c>
    </row>
    <row r="53" spans="1:75" s="20" customFormat="1" ht="93" x14ac:dyDescent="0.25">
      <c r="A53" s="430">
        <v>40</v>
      </c>
      <c r="B53" s="145">
        <f t="shared" si="23"/>
        <v>24.2</v>
      </c>
      <c r="C53" s="416" t="s">
        <v>981</v>
      </c>
      <c r="D53" s="416" t="s">
        <v>1071</v>
      </c>
      <c r="E53" s="416" t="s">
        <v>927</v>
      </c>
      <c r="F53" s="416" t="s">
        <v>1212</v>
      </c>
      <c r="G53" s="416"/>
      <c r="H53" s="416"/>
      <c r="I53" s="416"/>
      <c r="J53" s="161"/>
      <c r="K53" s="51">
        <f>'Calculator Impact  2025'!O125</f>
        <v>1176</v>
      </c>
      <c r="L53" s="51">
        <f>'Calculator Impact  2025'!E125</f>
        <v>25000</v>
      </c>
      <c r="M53" s="433">
        <f>'Calculator Impact  2025'!P125</f>
        <v>4.7E-2</v>
      </c>
      <c r="N53" s="200">
        <v>45809</v>
      </c>
      <c r="O53" s="33">
        <v>5</v>
      </c>
      <c r="P53" s="61" t="s">
        <v>26</v>
      </c>
      <c r="Q53" s="61" t="s">
        <v>26</v>
      </c>
      <c r="R53" s="15">
        <v>1690000</v>
      </c>
      <c r="S53" s="31">
        <v>0</v>
      </c>
      <c r="T53" s="17">
        <f t="shared" si="24"/>
        <v>1690000</v>
      </c>
      <c r="U53" s="16">
        <v>10000</v>
      </c>
      <c r="V53" s="420">
        <f t="shared" si="25"/>
        <v>1700000</v>
      </c>
      <c r="W53" s="32" t="s">
        <v>26</v>
      </c>
      <c r="X53" s="33" t="s">
        <v>1035</v>
      </c>
      <c r="Y53" s="18">
        <f t="shared" si="26"/>
        <v>16</v>
      </c>
      <c r="Z53" s="37">
        <v>0</v>
      </c>
      <c r="AA53" s="435">
        <f>'Calculator Impact  2025'!$Q$125</f>
        <v>13.72</v>
      </c>
      <c r="AB53" s="413">
        <f t="shared" si="27"/>
        <v>1</v>
      </c>
      <c r="AC53" s="414">
        <v>0</v>
      </c>
      <c r="AD53" s="413">
        <f t="shared" si="29"/>
        <v>1</v>
      </c>
      <c r="AE53" s="414">
        <v>0</v>
      </c>
      <c r="AF53" s="414">
        <v>0</v>
      </c>
      <c r="AG53" s="383" t="s">
        <v>26</v>
      </c>
      <c r="AH53" s="385">
        <v>0</v>
      </c>
      <c r="AI53" s="383" t="s">
        <v>27</v>
      </c>
      <c r="AJ53" s="385">
        <f t="shared" si="47"/>
        <v>0</v>
      </c>
      <c r="AK53" s="385">
        <f>Z53+AJ53</f>
        <v>0</v>
      </c>
      <c r="AL53" s="387"/>
      <c r="AM53" s="379">
        <f t="shared" si="46"/>
        <v>0</v>
      </c>
      <c r="AN53" s="51">
        <v>0</v>
      </c>
      <c r="AO53" s="29">
        <f t="shared" si="32"/>
        <v>0</v>
      </c>
      <c r="AP53" s="443"/>
      <c r="AQ53" s="443"/>
      <c r="AR53" s="444">
        <f t="shared" si="33"/>
        <v>0</v>
      </c>
      <c r="AS53" s="439"/>
      <c r="AT53" s="439" t="s">
        <v>1036</v>
      </c>
      <c r="AU53" s="439"/>
      <c r="AV53" s="440"/>
      <c r="AW53" s="439"/>
      <c r="AX53" s="440">
        <f t="shared" si="34"/>
        <v>10</v>
      </c>
      <c r="AY53" s="34"/>
      <c r="AZ53" s="34"/>
      <c r="BA53" s="447"/>
      <c r="BB53" s="447"/>
      <c r="BC53" s="447"/>
      <c r="BD53" s="447"/>
      <c r="BE53" s="448">
        <f t="shared" si="35"/>
        <v>0</v>
      </c>
      <c r="BF53" s="611"/>
      <c r="BG53" s="611"/>
      <c r="BH53" s="611"/>
      <c r="BI53" s="611"/>
      <c r="BJ53" s="451">
        <f t="shared" si="36"/>
        <v>0</v>
      </c>
      <c r="BK53" s="452">
        <f t="shared" si="37"/>
        <v>0</v>
      </c>
      <c r="BL53" s="453">
        <f t="shared" si="38"/>
        <v>1.6</v>
      </c>
      <c r="BM53" s="437">
        <f t="shared" si="39"/>
        <v>0</v>
      </c>
      <c r="BN53" s="454">
        <f t="shared" si="40"/>
        <v>0</v>
      </c>
      <c r="BO53" s="455">
        <f t="shared" si="41"/>
        <v>1.6</v>
      </c>
      <c r="BP53" s="456">
        <f t="shared" si="42"/>
        <v>5</v>
      </c>
      <c r="BQ53" s="453">
        <f t="shared" si="43"/>
        <v>0</v>
      </c>
      <c r="BR53" s="453"/>
      <c r="BS53" s="13">
        <f t="shared" si="44"/>
        <v>0</v>
      </c>
      <c r="BT53" s="451">
        <f t="shared" si="45"/>
        <v>24.2</v>
      </c>
      <c r="BU53" s="33"/>
    </row>
    <row r="54" spans="1:75" s="20" customFormat="1" ht="62.5" x14ac:dyDescent="0.25">
      <c r="A54" s="469">
        <v>13</v>
      </c>
      <c r="B54" s="472">
        <f t="shared" si="23"/>
        <v>24.2</v>
      </c>
      <c r="C54" s="473" t="s">
        <v>951</v>
      </c>
      <c r="D54" s="473" t="s">
        <v>1047</v>
      </c>
      <c r="E54" s="416" t="s">
        <v>930</v>
      </c>
      <c r="F54" s="416" t="s">
        <v>1213</v>
      </c>
      <c r="G54" s="416"/>
      <c r="H54" s="416"/>
      <c r="I54" s="416"/>
      <c r="J54" s="161"/>
      <c r="K54" s="51">
        <f>'Calculator Impact  2025'!O42</f>
        <v>857</v>
      </c>
      <c r="L54" s="51">
        <f>'Calculator Impact  2025'!E42</f>
        <v>44286</v>
      </c>
      <c r="M54" s="433">
        <f>'Calculator Impact  2025'!P42</f>
        <v>1.9400000000000001E-2</v>
      </c>
      <c r="N54" s="200">
        <v>45809</v>
      </c>
      <c r="O54" s="33">
        <v>5</v>
      </c>
      <c r="P54" s="61" t="s">
        <v>26</v>
      </c>
      <c r="Q54" s="61" t="s">
        <v>26</v>
      </c>
      <c r="R54" s="15">
        <v>392000</v>
      </c>
      <c r="S54" s="31">
        <v>0</v>
      </c>
      <c r="T54" s="17">
        <f t="shared" si="24"/>
        <v>392000</v>
      </c>
      <c r="U54" s="16">
        <v>5000</v>
      </c>
      <c r="V54" s="420">
        <f t="shared" si="25"/>
        <v>397000</v>
      </c>
      <c r="W54" s="32" t="s">
        <v>26</v>
      </c>
      <c r="X54" s="33" t="s">
        <v>1035</v>
      </c>
      <c r="Y54" s="18">
        <f t="shared" si="26"/>
        <v>16</v>
      </c>
      <c r="Z54" s="37">
        <v>0</v>
      </c>
      <c r="AA54" s="435">
        <f>'Calculator Impact  2025'!$Q$42</f>
        <v>8.91</v>
      </c>
      <c r="AB54" s="413">
        <f t="shared" si="27"/>
        <v>0.79390000000000005</v>
      </c>
      <c r="AC54" s="414">
        <v>0</v>
      </c>
      <c r="AD54" s="413">
        <f t="shared" si="29"/>
        <v>0.79390000000000005</v>
      </c>
      <c r="AE54" s="414">
        <v>0</v>
      </c>
      <c r="AF54" s="414">
        <v>0</v>
      </c>
      <c r="AG54" s="383" t="s">
        <v>26</v>
      </c>
      <c r="AH54" s="385">
        <v>0</v>
      </c>
      <c r="AI54" s="383" t="s">
        <v>27</v>
      </c>
      <c r="AJ54" s="385">
        <f t="shared" si="47"/>
        <v>0</v>
      </c>
      <c r="AK54" s="385">
        <f>Z54+AJ54</f>
        <v>0</v>
      </c>
      <c r="AL54" s="386"/>
      <c r="AM54" s="379">
        <f t="shared" si="46"/>
        <v>0</v>
      </c>
      <c r="AN54" s="51">
        <v>0</v>
      </c>
      <c r="AO54" s="29">
        <f t="shared" si="32"/>
        <v>0</v>
      </c>
      <c r="AP54" s="444"/>
      <c r="AQ54" s="443"/>
      <c r="AR54" s="444">
        <f t="shared" si="33"/>
        <v>0</v>
      </c>
      <c r="AS54" s="439"/>
      <c r="AT54" s="439" t="s">
        <v>1036</v>
      </c>
      <c r="AU54" s="440"/>
      <c r="AV54" s="440"/>
      <c r="AW54" s="439"/>
      <c r="AX54" s="440">
        <f t="shared" si="34"/>
        <v>10</v>
      </c>
      <c r="AY54" s="34"/>
      <c r="AZ54" s="34"/>
      <c r="BA54" s="447"/>
      <c r="BB54" s="447"/>
      <c r="BC54" s="447"/>
      <c r="BD54" s="447"/>
      <c r="BE54" s="448">
        <f t="shared" si="35"/>
        <v>0</v>
      </c>
      <c r="BF54" s="611"/>
      <c r="BG54" s="611"/>
      <c r="BH54" s="611"/>
      <c r="BI54" s="611"/>
      <c r="BJ54" s="451">
        <f t="shared" si="36"/>
        <v>0</v>
      </c>
      <c r="BK54" s="452">
        <f t="shared" si="37"/>
        <v>0</v>
      </c>
      <c r="BL54" s="453">
        <f t="shared" si="38"/>
        <v>1.6</v>
      </c>
      <c r="BM54" s="437">
        <f t="shared" si="39"/>
        <v>0</v>
      </c>
      <c r="BN54" s="454">
        <f t="shared" si="40"/>
        <v>0</v>
      </c>
      <c r="BO54" s="455">
        <f t="shared" si="41"/>
        <v>1.6</v>
      </c>
      <c r="BP54" s="456">
        <f t="shared" si="42"/>
        <v>5</v>
      </c>
      <c r="BQ54" s="453">
        <f t="shared" si="43"/>
        <v>0</v>
      </c>
      <c r="BR54" s="453"/>
      <c r="BS54" s="13">
        <f t="shared" si="44"/>
        <v>0</v>
      </c>
      <c r="BT54" s="451">
        <f t="shared" si="45"/>
        <v>24.2</v>
      </c>
      <c r="BU54" s="33"/>
      <c r="BV54" s="107" t="s">
        <v>1078</v>
      </c>
      <c r="BW54" s="107" t="s">
        <v>1073</v>
      </c>
    </row>
    <row r="55" spans="1:75" s="20" customFormat="1" ht="60.75" customHeight="1" x14ac:dyDescent="0.25">
      <c r="A55" s="471">
        <v>34</v>
      </c>
      <c r="B55" s="472">
        <f t="shared" si="23"/>
        <v>21.718412386746177</v>
      </c>
      <c r="C55" s="473" t="s">
        <v>974</v>
      </c>
      <c r="D55" s="473" t="s">
        <v>1113</v>
      </c>
      <c r="E55" s="416" t="s">
        <v>930</v>
      </c>
      <c r="F55" s="416" t="s">
        <v>1214</v>
      </c>
      <c r="G55" s="416"/>
      <c r="H55" s="416"/>
      <c r="I55" s="416"/>
      <c r="J55" s="161"/>
      <c r="K55" s="51">
        <f>'Calculator Impact  2025'!O104</f>
        <v>532</v>
      </c>
      <c r="L55" s="51">
        <f>'Calculator Impact  2025'!E104</f>
        <v>32730</v>
      </c>
      <c r="M55" s="433">
        <f>'Calculator Impact  2025'!P104</f>
        <v>1.6299999999999999E-2</v>
      </c>
      <c r="N55" s="200">
        <v>45474</v>
      </c>
      <c r="O55" s="33">
        <v>16</v>
      </c>
      <c r="P55" s="61" t="s">
        <v>26</v>
      </c>
      <c r="Q55" s="61" t="s">
        <v>26</v>
      </c>
      <c r="R55" s="15">
        <v>3927682</v>
      </c>
      <c r="S55" s="31">
        <v>2901682</v>
      </c>
      <c r="T55" s="17">
        <f t="shared" si="24"/>
        <v>1026000</v>
      </c>
      <c r="U55" s="16">
        <v>0</v>
      </c>
      <c r="V55" s="420">
        <f t="shared" si="25"/>
        <v>1026000</v>
      </c>
      <c r="W55" s="32" t="s">
        <v>26</v>
      </c>
      <c r="X55" s="33" t="s">
        <v>1046</v>
      </c>
      <c r="Y55" s="18">
        <f t="shared" si="26"/>
        <v>10</v>
      </c>
      <c r="Z55" s="37">
        <v>2000000</v>
      </c>
      <c r="AA55" s="435">
        <f>'Calculator Impact  2025'!$Q$104</f>
        <v>8.61</v>
      </c>
      <c r="AB55" s="413">
        <f t="shared" si="27"/>
        <v>0.74129999999999996</v>
      </c>
      <c r="AC55" s="414">
        <v>0</v>
      </c>
      <c r="AD55" s="413">
        <f t="shared" si="29"/>
        <v>0.74129999999999996</v>
      </c>
      <c r="AE55" s="414">
        <v>0</v>
      </c>
      <c r="AF55" s="414">
        <v>0</v>
      </c>
      <c r="AG55" s="383" t="s">
        <v>27</v>
      </c>
      <c r="AH55" s="385">
        <v>0</v>
      </c>
      <c r="AI55" s="383" t="s">
        <v>27</v>
      </c>
      <c r="AJ55" s="385">
        <f t="shared" si="47"/>
        <v>0</v>
      </c>
      <c r="AK55" s="385">
        <v>0</v>
      </c>
      <c r="AL55" s="386"/>
      <c r="AM55" s="379">
        <f t="shared" si="46"/>
        <v>0</v>
      </c>
      <c r="AN55" s="51">
        <v>0</v>
      </c>
      <c r="AO55" s="29">
        <f t="shared" si="32"/>
        <v>0.50920619337308881</v>
      </c>
      <c r="AP55" s="443"/>
      <c r="AQ55" s="443"/>
      <c r="AR55" s="444">
        <f t="shared" si="33"/>
        <v>0</v>
      </c>
      <c r="AS55" s="439" t="s">
        <v>1036</v>
      </c>
      <c r="AT55" s="439"/>
      <c r="AU55" s="440"/>
      <c r="AV55" s="440"/>
      <c r="AW55" s="439"/>
      <c r="AX55" s="440">
        <f t="shared" si="34"/>
        <v>5</v>
      </c>
      <c r="AY55" s="34"/>
      <c r="AZ55" s="34" t="s">
        <v>1036</v>
      </c>
      <c r="BA55" s="447"/>
      <c r="BB55" s="447"/>
      <c r="BC55" s="447"/>
      <c r="BD55" s="447"/>
      <c r="BE55" s="448">
        <f t="shared" si="35"/>
        <v>0</v>
      </c>
      <c r="BF55" s="611"/>
      <c r="BG55" s="611"/>
      <c r="BH55" s="611"/>
      <c r="BI55" s="611"/>
      <c r="BJ55" s="451">
        <f t="shared" si="36"/>
        <v>1.0184123867461776</v>
      </c>
      <c r="BK55" s="452">
        <f t="shared" si="37"/>
        <v>0</v>
      </c>
      <c r="BL55" s="453">
        <f t="shared" si="38"/>
        <v>0.5</v>
      </c>
      <c r="BM55" s="437">
        <f t="shared" si="39"/>
        <v>0</v>
      </c>
      <c r="BN55" s="454">
        <f t="shared" si="40"/>
        <v>2</v>
      </c>
      <c r="BO55" s="455">
        <f t="shared" si="41"/>
        <v>3.2</v>
      </c>
      <c r="BP55" s="456">
        <f t="shared" si="42"/>
        <v>5</v>
      </c>
      <c r="BQ55" s="453">
        <f t="shared" si="43"/>
        <v>0</v>
      </c>
      <c r="BR55" s="453"/>
      <c r="BS55" s="13">
        <f t="shared" si="44"/>
        <v>0</v>
      </c>
      <c r="BT55" s="451">
        <f t="shared" si="45"/>
        <v>21.718412386746177</v>
      </c>
      <c r="BU55" s="33"/>
      <c r="BV55" s="107" t="s">
        <v>1086</v>
      </c>
      <c r="BW55" s="107" t="s">
        <v>1073</v>
      </c>
    </row>
    <row r="56" spans="1:75" s="20" customFormat="1" ht="93" x14ac:dyDescent="0.25">
      <c r="A56" s="471">
        <v>50</v>
      </c>
      <c r="B56" s="472">
        <f t="shared" si="23"/>
        <v>21.5</v>
      </c>
      <c r="C56" s="473" t="s">
        <v>993</v>
      </c>
      <c r="D56" s="473" t="s">
        <v>1128</v>
      </c>
      <c r="E56" s="416" t="s">
        <v>927</v>
      </c>
      <c r="F56" s="416" t="s">
        <v>1215</v>
      </c>
      <c r="G56" s="416"/>
      <c r="H56" s="416"/>
      <c r="I56" s="416"/>
      <c r="J56" s="161"/>
      <c r="K56" s="51">
        <f>'Calculator Impact  2025'!O150</f>
        <v>1846</v>
      </c>
      <c r="L56" s="51">
        <f>'Calculator Impact  2025'!E150</f>
        <v>63359</v>
      </c>
      <c r="M56" s="433">
        <f>'Calculator Impact  2025'!P150</f>
        <v>2.9100000000000001E-2</v>
      </c>
      <c r="N56" s="200">
        <v>45505</v>
      </c>
      <c r="O56" s="33">
        <v>15</v>
      </c>
      <c r="P56" s="61" t="s">
        <v>26</v>
      </c>
      <c r="Q56" s="61" t="s">
        <v>26</v>
      </c>
      <c r="R56" s="15">
        <v>909360</v>
      </c>
      <c r="S56" s="31">
        <v>409360</v>
      </c>
      <c r="T56" s="17">
        <f t="shared" si="24"/>
        <v>500000</v>
      </c>
      <c r="U56" s="16">
        <v>0</v>
      </c>
      <c r="V56" s="17">
        <f t="shared" si="25"/>
        <v>500000</v>
      </c>
      <c r="W56" s="32" t="s">
        <v>26</v>
      </c>
      <c r="X56" s="33" t="s">
        <v>1046</v>
      </c>
      <c r="Y56" s="18">
        <f t="shared" si="26"/>
        <v>10</v>
      </c>
      <c r="Z56" s="37">
        <v>0</v>
      </c>
      <c r="AA56" s="435">
        <f>'Calculator Impact  2025'!$Q$150</f>
        <v>9.09</v>
      </c>
      <c r="AB56" s="413">
        <f t="shared" si="27"/>
        <v>0.82630000000000003</v>
      </c>
      <c r="AC56" s="414">
        <v>0</v>
      </c>
      <c r="AD56" s="413">
        <f t="shared" si="29"/>
        <v>0.82630000000000003</v>
      </c>
      <c r="AE56" s="414">
        <v>0</v>
      </c>
      <c r="AF56" s="414">
        <v>0</v>
      </c>
      <c r="AG56" s="383" t="s">
        <v>27</v>
      </c>
      <c r="AH56" s="385">
        <v>0</v>
      </c>
      <c r="AI56" s="383" t="s">
        <v>27</v>
      </c>
      <c r="AJ56" s="385">
        <f t="shared" si="47"/>
        <v>0</v>
      </c>
      <c r="AK56" s="385">
        <f>Z56+AJ56</f>
        <v>0</v>
      </c>
      <c r="AL56" s="386"/>
      <c r="AM56" s="379">
        <f t="shared" si="46"/>
        <v>0</v>
      </c>
      <c r="AN56" s="51">
        <v>0</v>
      </c>
      <c r="AO56" s="29">
        <f t="shared" si="32"/>
        <v>0</v>
      </c>
      <c r="AP56" s="444"/>
      <c r="AQ56" s="443"/>
      <c r="AR56" s="444">
        <f t="shared" si="33"/>
        <v>0</v>
      </c>
      <c r="AS56" s="439" t="s">
        <v>1036</v>
      </c>
      <c r="AT56" s="439"/>
      <c r="AU56" s="440"/>
      <c r="AV56" s="440"/>
      <c r="AW56" s="439"/>
      <c r="AX56" s="440">
        <f t="shared" si="34"/>
        <v>5</v>
      </c>
      <c r="AY56" s="34"/>
      <c r="AZ56" s="34" t="s">
        <v>1036</v>
      </c>
      <c r="BA56" s="447"/>
      <c r="BB56" s="447" t="s">
        <v>1036</v>
      </c>
      <c r="BC56" s="447"/>
      <c r="BD56" s="447"/>
      <c r="BE56" s="448">
        <f t="shared" si="35"/>
        <v>10</v>
      </c>
      <c r="BF56" s="611"/>
      <c r="BG56" s="611"/>
      <c r="BH56" s="611"/>
      <c r="BI56" s="611"/>
      <c r="BJ56" s="451">
        <f t="shared" si="36"/>
        <v>0</v>
      </c>
      <c r="BK56" s="452">
        <f t="shared" si="37"/>
        <v>0</v>
      </c>
      <c r="BL56" s="453">
        <f t="shared" si="38"/>
        <v>0.5</v>
      </c>
      <c r="BM56" s="437">
        <f t="shared" si="39"/>
        <v>0</v>
      </c>
      <c r="BN56" s="454">
        <f t="shared" si="40"/>
        <v>2</v>
      </c>
      <c r="BO56" s="455">
        <f t="shared" si="41"/>
        <v>3</v>
      </c>
      <c r="BP56" s="456">
        <f t="shared" si="42"/>
        <v>5</v>
      </c>
      <c r="BQ56" s="453">
        <f t="shared" si="43"/>
        <v>1</v>
      </c>
      <c r="BR56" s="453"/>
      <c r="BS56" s="13">
        <f t="shared" si="44"/>
        <v>0</v>
      </c>
      <c r="BT56" s="451">
        <f t="shared" si="45"/>
        <v>21.5</v>
      </c>
      <c r="BU56" s="33"/>
      <c r="BV56" s="107" t="s">
        <v>1095</v>
      </c>
      <c r="BW56" s="107" t="s">
        <v>1073</v>
      </c>
    </row>
    <row r="57" spans="1:75" s="107" customFormat="1" ht="31" x14ac:dyDescent="0.25">
      <c r="A57" s="431">
        <v>27</v>
      </c>
      <c r="B57" s="145">
        <f t="shared" si="23"/>
        <v>21.086842105263159</v>
      </c>
      <c r="C57" s="416" t="s">
        <v>967</v>
      </c>
      <c r="D57" s="416" t="s">
        <v>1050</v>
      </c>
      <c r="E57" s="416" t="s">
        <v>927</v>
      </c>
      <c r="F57" s="416" t="s">
        <v>1216</v>
      </c>
      <c r="G57" s="416"/>
      <c r="H57" s="416"/>
      <c r="I57" s="416"/>
      <c r="J57" s="161"/>
      <c r="K57" s="51">
        <f>'Calculator Impact  2025'!O92</f>
        <v>494</v>
      </c>
      <c r="L57" s="51">
        <f>'Calculator Impact  2025'!E92</f>
        <v>36875</v>
      </c>
      <c r="M57" s="433">
        <f>'Calculator Impact  2025'!P92</f>
        <v>1.34E-2</v>
      </c>
      <c r="N57" s="200">
        <v>45566</v>
      </c>
      <c r="O57" s="33">
        <v>13</v>
      </c>
      <c r="P57" s="61" t="s">
        <v>26</v>
      </c>
      <c r="Q57" s="61" t="s">
        <v>26</v>
      </c>
      <c r="R57" s="15">
        <v>7600000</v>
      </c>
      <c r="S57" s="31">
        <v>5600000</v>
      </c>
      <c r="T57" s="17">
        <f t="shared" si="24"/>
        <v>2000000</v>
      </c>
      <c r="U57" s="16">
        <v>0</v>
      </c>
      <c r="V57" s="420">
        <f t="shared" si="25"/>
        <v>2000000</v>
      </c>
      <c r="W57" s="32" t="s">
        <v>26</v>
      </c>
      <c r="X57" s="33" t="s">
        <v>1046</v>
      </c>
      <c r="Y57" s="18">
        <f t="shared" si="26"/>
        <v>10</v>
      </c>
      <c r="Z57" s="37">
        <v>3750000</v>
      </c>
      <c r="AA57" s="435">
        <f>'Calculator Impact  2025'!$Q$92</f>
        <v>8.6199999999999992</v>
      </c>
      <c r="AB57" s="413">
        <f t="shared" si="27"/>
        <v>0.74299999999999999</v>
      </c>
      <c r="AC57" s="414">
        <v>0</v>
      </c>
      <c r="AD57" s="413">
        <f t="shared" si="29"/>
        <v>0.74299999999999999</v>
      </c>
      <c r="AE57" s="414">
        <v>0</v>
      </c>
      <c r="AF57" s="414">
        <v>0</v>
      </c>
      <c r="AG57" s="383" t="s">
        <v>27</v>
      </c>
      <c r="AH57" s="385">
        <v>0</v>
      </c>
      <c r="AI57" s="383" t="s">
        <v>27</v>
      </c>
      <c r="AJ57" s="385">
        <f t="shared" si="47"/>
        <v>0</v>
      </c>
      <c r="AK57" s="385">
        <v>0</v>
      </c>
      <c r="AL57" s="386"/>
      <c r="AM57" s="379">
        <f t="shared" si="46"/>
        <v>0</v>
      </c>
      <c r="AN57" s="51">
        <v>0</v>
      </c>
      <c r="AO57" s="29">
        <f t="shared" si="32"/>
        <v>0.49342105263157893</v>
      </c>
      <c r="AP57" s="444"/>
      <c r="AQ57" s="443"/>
      <c r="AR57" s="444">
        <f t="shared" si="33"/>
        <v>0</v>
      </c>
      <c r="AS57" s="439" t="s">
        <v>1036</v>
      </c>
      <c r="AT57" s="439"/>
      <c r="AU57" s="440"/>
      <c r="AV57" s="440"/>
      <c r="AW57" s="439"/>
      <c r="AX57" s="440">
        <f t="shared" si="34"/>
        <v>5</v>
      </c>
      <c r="AY57" s="34"/>
      <c r="AZ57" s="34" t="s">
        <v>1036</v>
      </c>
      <c r="BA57" s="447"/>
      <c r="BB57" s="447"/>
      <c r="BC57" s="447"/>
      <c r="BD57" s="447"/>
      <c r="BE57" s="448">
        <f t="shared" si="35"/>
        <v>0</v>
      </c>
      <c r="BF57" s="611"/>
      <c r="BG57" s="611"/>
      <c r="BH57" s="611"/>
      <c r="BI57" s="611"/>
      <c r="BJ57" s="451">
        <f t="shared" si="36"/>
        <v>0.98684210526315796</v>
      </c>
      <c r="BK57" s="452">
        <f t="shared" si="37"/>
        <v>0</v>
      </c>
      <c r="BL57" s="453">
        <f t="shared" si="38"/>
        <v>0.5</v>
      </c>
      <c r="BM57" s="437">
        <f t="shared" si="39"/>
        <v>0</v>
      </c>
      <c r="BN57" s="454">
        <f t="shared" si="40"/>
        <v>2</v>
      </c>
      <c r="BO57" s="455">
        <f t="shared" si="41"/>
        <v>2.6</v>
      </c>
      <c r="BP57" s="456">
        <f t="shared" si="42"/>
        <v>5</v>
      </c>
      <c r="BQ57" s="453">
        <f t="shared" si="43"/>
        <v>0</v>
      </c>
      <c r="BR57" s="453"/>
      <c r="BS57" s="13">
        <f t="shared" si="44"/>
        <v>0</v>
      </c>
      <c r="BT57" s="451">
        <f t="shared" si="45"/>
        <v>21.086842105263159</v>
      </c>
      <c r="BU57" s="33"/>
      <c r="BV57" s="20"/>
      <c r="BW57" s="20"/>
    </row>
    <row r="58" spans="1:75" s="20" customFormat="1" ht="179.25" customHeight="1" x14ac:dyDescent="0.25">
      <c r="A58" s="430">
        <v>36</v>
      </c>
      <c r="B58" s="145">
        <f t="shared" si="23"/>
        <v>22.6</v>
      </c>
      <c r="C58" s="416" t="s">
        <v>976</v>
      </c>
      <c r="D58" s="416" t="s">
        <v>1054</v>
      </c>
      <c r="E58" s="416" t="s">
        <v>927</v>
      </c>
      <c r="F58" s="416" t="s">
        <v>1217</v>
      </c>
      <c r="G58" s="416"/>
      <c r="H58" s="416"/>
      <c r="I58" s="416"/>
      <c r="J58" s="161"/>
      <c r="K58" s="51">
        <f>'Calculator Impact  2025'!O111</f>
        <v>434</v>
      </c>
      <c r="L58" s="51">
        <f>'Calculator Impact  2025'!E111</f>
        <v>50625</v>
      </c>
      <c r="M58" s="433">
        <f>'Calculator Impact  2025'!P111</f>
        <v>8.6E-3</v>
      </c>
      <c r="N58" s="200">
        <v>46054</v>
      </c>
      <c r="O58" s="33">
        <v>0</v>
      </c>
      <c r="P58" s="61" t="s">
        <v>26</v>
      </c>
      <c r="Q58" s="61" t="s">
        <v>26</v>
      </c>
      <c r="R58" s="15">
        <v>7200000</v>
      </c>
      <c r="S58" s="31">
        <v>0</v>
      </c>
      <c r="T58" s="17">
        <f t="shared" si="24"/>
        <v>7200000</v>
      </c>
      <c r="U58" s="16">
        <v>0</v>
      </c>
      <c r="V58" s="420">
        <f t="shared" si="25"/>
        <v>7200000</v>
      </c>
      <c r="W58" s="32" t="s">
        <v>26</v>
      </c>
      <c r="X58" s="33" t="s">
        <v>1035</v>
      </c>
      <c r="Y58" s="18">
        <f t="shared" si="26"/>
        <v>16</v>
      </c>
      <c r="Z58" s="37">
        <v>0</v>
      </c>
      <c r="AA58" s="435">
        <f>'Calculator Impact  2025'!$Q$111</f>
        <v>2.68</v>
      </c>
      <c r="AB58" s="413">
        <f t="shared" si="27"/>
        <v>0</v>
      </c>
      <c r="AC58" s="414">
        <f>ROUND(IF(AB58*T58&gt;=1000000,1000000,AB58*T58),0)</f>
        <v>0</v>
      </c>
      <c r="AD58" s="413">
        <f t="shared" si="29"/>
        <v>0</v>
      </c>
      <c r="AE58" s="414">
        <f>ROUND(IF(AD58*V58&gt;=1000000,1000000,AD58*V58),0)</f>
        <v>0</v>
      </c>
      <c r="AF58" s="414">
        <v>0</v>
      </c>
      <c r="AG58" s="383" t="s">
        <v>27</v>
      </c>
      <c r="AH58" s="385">
        <v>0</v>
      </c>
      <c r="AI58" s="383" t="s">
        <v>27</v>
      </c>
      <c r="AJ58" s="385">
        <f t="shared" si="47"/>
        <v>0</v>
      </c>
      <c r="AK58" s="385">
        <f>Z58+AJ58</f>
        <v>0</v>
      </c>
      <c r="AL58" s="386"/>
      <c r="AM58" s="379">
        <f t="shared" si="46"/>
        <v>0</v>
      </c>
      <c r="AN58" s="51">
        <v>0</v>
      </c>
      <c r="AO58" s="29">
        <f t="shared" si="32"/>
        <v>0</v>
      </c>
      <c r="AP58" s="443"/>
      <c r="AQ58" s="443"/>
      <c r="AR58" s="444">
        <f t="shared" si="33"/>
        <v>0</v>
      </c>
      <c r="AS58" s="439"/>
      <c r="AT58" s="439" t="s">
        <v>1036</v>
      </c>
      <c r="AU58" s="440"/>
      <c r="AV58" s="439"/>
      <c r="AW58" s="439"/>
      <c r="AX58" s="440">
        <f t="shared" si="34"/>
        <v>10</v>
      </c>
      <c r="AY58" s="34"/>
      <c r="AZ58" s="34"/>
      <c r="BA58" s="447"/>
      <c r="BB58" s="447"/>
      <c r="BC58" s="447"/>
      <c r="BD58" s="447"/>
      <c r="BE58" s="448">
        <f t="shared" si="35"/>
        <v>0</v>
      </c>
      <c r="BF58" s="611"/>
      <c r="BG58" s="611"/>
      <c r="BH58" s="611"/>
      <c r="BI58" s="611"/>
      <c r="BJ58" s="451">
        <f t="shared" si="36"/>
        <v>0</v>
      </c>
      <c r="BK58" s="452">
        <f t="shared" si="37"/>
        <v>0</v>
      </c>
      <c r="BL58" s="453">
        <f t="shared" si="38"/>
        <v>1.6</v>
      </c>
      <c r="BM58" s="437">
        <f t="shared" si="39"/>
        <v>0</v>
      </c>
      <c r="BN58" s="454">
        <f t="shared" si="40"/>
        <v>0</v>
      </c>
      <c r="BO58" s="455">
        <f t="shared" si="41"/>
        <v>0</v>
      </c>
      <c r="BP58" s="456">
        <f t="shared" si="42"/>
        <v>5</v>
      </c>
      <c r="BQ58" s="453">
        <f t="shared" si="43"/>
        <v>0</v>
      </c>
      <c r="BR58" s="453"/>
      <c r="BS58" s="13">
        <f t="shared" si="44"/>
        <v>0</v>
      </c>
      <c r="BT58" s="451">
        <f t="shared" si="45"/>
        <v>22.6</v>
      </c>
      <c r="BU58" s="33"/>
    </row>
    <row r="59" spans="1:75" s="20" customFormat="1" ht="93" x14ac:dyDescent="0.25">
      <c r="A59" s="431">
        <v>25</v>
      </c>
      <c r="B59" s="477">
        <f t="shared" si="23"/>
        <v>19.295982141507693</v>
      </c>
      <c r="C59" s="416" t="s">
        <v>965</v>
      </c>
      <c r="D59" s="416" t="s">
        <v>1069</v>
      </c>
      <c r="E59" s="416" t="s">
        <v>929</v>
      </c>
      <c r="F59" s="416" t="s">
        <v>1218</v>
      </c>
      <c r="G59" s="416"/>
      <c r="H59" s="416"/>
      <c r="I59" s="416"/>
      <c r="J59" s="161"/>
      <c r="K59" s="379">
        <f>'Calculator Impact  2025'!O86</f>
        <v>510</v>
      </c>
      <c r="L59" s="379">
        <f>'Calculator Impact  2025'!E86</f>
        <v>84464</v>
      </c>
      <c r="M59" s="478">
        <f>'Calculator Impact  2025'!P86</f>
        <v>6.0000000000000001E-3</v>
      </c>
      <c r="N59" s="200">
        <v>45748</v>
      </c>
      <c r="O59" s="33">
        <v>7</v>
      </c>
      <c r="P59" s="61" t="s">
        <v>26</v>
      </c>
      <c r="Q59" s="61" t="s">
        <v>26</v>
      </c>
      <c r="R59" s="479">
        <v>1984938</v>
      </c>
      <c r="S59" s="31">
        <v>1290000</v>
      </c>
      <c r="T59" s="480">
        <f t="shared" si="24"/>
        <v>694938</v>
      </c>
      <c r="U59" s="31">
        <v>25000</v>
      </c>
      <c r="V59" s="481">
        <f t="shared" si="25"/>
        <v>719938</v>
      </c>
      <c r="W59" s="32" t="s">
        <v>26</v>
      </c>
      <c r="X59" s="33" t="s">
        <v>1046</v>
      </c>
      <c r="Y59" s="33">
        <f t="shared" si="26"/>
        <v>10</v>
      </c>
      <c r="Z59" s="37">
        <v>393000</v>
      </c>
      <c r="AA59" s="466">
        <f>'Calculator Impact  2025'!$Q$86</f>
        <v>3.47</v>
      </c>
      <c r="AB59" s="482">
        <f t="shared" si="27"/>
        <v>0</v>
      </c>
      <c r="AC59" s="414">
        <v>0</v>
      </c>
      <c r="AD59" s="482">
        <f t="shared" si="29"/>
        <v>0</v>
      </c>
      <c r="AE59" s="483">
        <f>ROUND(IF(AD59*V59&gt;=1000000,1000000,AD59*V59),0)</f>
        <v>0</v>
      </c>
      <c r="AF59" s="483">
        <v>0</v>
      </c>
      <c r="AG59" s="383" t="s">
        <v>26</v>
      </c>
      <c r="AH59" s="384">
        <v>0</v>
      </c>
      <c r="AI59" s="383" t="s">
        <v>27</v>
      </c>
      <c r="AJ59" s="384">
        <f t="shared" si="47"/>
        <v>0</v>
      </c>
      <c r="AK59" s="384">
        <v>0</v>
      </c>
      <c r="AL59" s="386"/>
      <c r="AM59" s="379">
        <f t="shared" si="46"/>
        <v>0</v>
      </c>
      <c r="AN59" s="379">
        <v>0</v>
      </c>
      <c r="AO59" s="484">
        <f t="shared" si="32"/>
        <v>0.19799107075384723</v>
      </c>
      <c r="AP59" s="443"/>
      <c r="AQ59" s="443"/>
      <c r="AR59" s="443">
        <f t="shared" si="33"/>
        <v>0</v>
      </c>
      <c r="AS59" s="439" t="s">
        <v>1036</v>
      </c>
      <c r="AT59" s="439"/>
      <c r="AU59" s="439"/>
      <c r="AV59" s="439"/>
      <c r="AW59" s="439"/>
      <c r="AX59" s="439">
        <f t="shared" si="34"/>
        <v>5</v>
      </c>
      <c r="AY59" s="34"/>
      <c r="AZ59" s="34" t="s">
        <v>1036</v>
      </c>
      <c r="BA59" s="447"/>
      <c r="BB59" s="447"/>
      <c r="BC59" s="447"/>
      <c r="BD59" s="447"/>
      <c r="BE59" s="485">
        <f t="shared" si="35"/>
        <v>0</v>
      </c>
      <c r="BF59" s="447"/>
      <c r="BG59" s="447"/>
      <c r="BH59" s="447"/>
      <c r="BI59" s="447"/>
      <c r="BJ59" s="486">
        <f t="shared" si="36"/>
        <v>0.39598214150769445</v>
      </c>
      <c r="BK59" s="487">
        <f t="shared" si="37"/>
        <v>0</v>
      </c>
      <c r="BL59" s="488">
        <f t="shared" si="38"/>
        <v>0.5</v>
      </c>
      <c r="BM59" s="489">
        <f t="shared" si="39"/>
        <v>0</v>
      </c>
      <c r="BN59" s="490">
        <f t="shared" si="40"/>
        <v>2</v>
      </c>
      <c r="BO59" s="491">
        <f t="shared" si="41"/>
        <v>1.4</v>
      </c>
      <c r="BP59" s="492">
        <f t="shared" si="42"/>
        <v>5</v>
      </c>
      <c r="BQ59" s="488">
        <f t="shared" si="43"/>
        <v>0</v>
      </c>
      <c r="BR59" s="488"/>
      <c r="BS59" s="37">
        <f t="shared" si="44"/>
        <v>0</v>
      </c>
      <c r="BT59" s="486">
        <f t="shared" si="45"/>
        <v>19.295982141507693</v>
      </c>
      <c r="BU59" s="33"/>
      <c r="BV59" s="107"/>
      <c r="BW59" s="107"/>
    </row>
    <row r="60" spans="1:75" s="20" customFormat="1" ht="70.5" customHeight="1" x14ac:dyDescent="0.25">
      <c r="A60" s="430">
        <v>12</v>
      </c>
      <c r="B60" s="145">
        <f t="shared" si="23"/>
        <v>18.5</v>
      </c>
      <c r="C60" s="416" t="s">
        <v>949</v>
      </c>
      <c r="D60" s="416" t="s">
        <v>1048</v>
      </c>
      <c r="E60" s="416" t="s">
        <v>929</v>
      </c>
      <c r="F60" s="416" t="s">
        <v>950</v>
      </c>
      <c r="G60" s="416"/>
      <c r="H60" s="416"/>
      <c r="I60" s="416"/>
      <c r="J60" s="161"/>
      <c r="K60" s="51">
        <f>'Calculator Impact  2025'!O41</f>
        <v>514</v>
      </c>
      <c r="L60" s="51">
        <f>'Calculator Impact  2025'!E41</f>
        <v>67295</v>
      </c>
      <c r="M60" s="433">
        <f>'Calculator Impact  2025'!P41</f>
        <v>7.6E-3</v>
      </c>
      <c r="N60" s="200">
        <v>45809</v>
      </c>
      <c r="O60" s="33">
        <v>5</v>
      </c>
      <c r="P60" s="61" t="s">
        <v>26</v>
      </c>
      <c r="Q60" s="61" t="s">
        <v>26</v>
      </c>
      <c r="R60" s="15">
        <v>2900000</v>
      </c>
      <c r="S60" s="16">
        <v>0</v>
      </c>
      <c r="T60" s="17">
        <f t="shared" si="24"/>
        <v>2900000</v>
      </c>
      <c r="U60" s="16">
        <v>5000</v>
      </c>
      <c r="V60" s="420">
        <f t="shared" si="25"/>
        <v>2905000</v>
      </c>
      <c r="W60" s="32" t="s">
        <v>26</v>
      </c>
      <c r="X60" s="33" t="s">
        <v>1046</v>
      </c>
      <c r="Y60" s="18">
        <f t="shared" si="26"/>
        <v>10</v>
      </c>
      <c r="Z60" s="37">
        <v>0</v>
      </c>
      <c r="AA60" s="435">
        <f>'Calculator Impact  2025'!$Q$41</f>
        <v>3.72</v>
      </c>
      <c r="AB60" s="413">
        <f t="shared" si="27"/>
        <v>0</v>
      </c>
      <c r="AC60" s="414">
        <f>ROUND(IF(AB60*T60&gt;=1000000,1000000,AB60*T60),0)</f>
        <v>0</v>
      </c>
      <c r="AD60" s="413">
        <f t="shared" si="29"/>
        <v>0</v>
      </c>
      <c r="AE60" s="414">
        <v>0</v>
      </c>
      <c r="AF60" s="414">
        <v>0</v>
      </c>
      <c r="AG60" s="383" t="s">
        <v>26</v>
      </c>
      <c r="AH60" s="385">
        <v>0</v>
      </c>
      <c r="AI60" s="383" t="s">
        <v>27</v>
      </c>
      <c r="AJ60" s="385">
        <f t="shared" si="47"/>
        <v>0</v>
      </c>
      <c r="AK60" s="385">
        <f>Z60+AJ60</f>
        <v>0</v>
      </c>
      <c r="AL60" s="388"/>
      <c r="AM60" s="379">
        <f t="shared" si="46"/>
        <v>0</v>
      </c>
      <c r="AN60" s="51">
        <v>0</v>
      </c>
      <c r="AO60" s="29">
        <f t="shared" si="32"/>
        <v>0</v>
      </c>
      <c r="AP60" s="443"/>
      <c r="AQ60" s="443"/>
      <c r="AR60" s="444">
        <f t="shared" si="33"/>
        <v>0</v>
      </c>
      <c r="AS60" s="439" t="s">
        <v>1036</v>
      </c>
      <c r="AT60" s="439"/>
      <c r="AU60" s="440"/>
      <c r="AV60" s="440"/>
      <c r="AW60" s="439"/>
      <c r="AX60" s="440">
        <f t="shared" si="34"/>
        <v>5</v>
      </c>
      <c r="AY60" s="34"/>
      <c r="AZ60" s="34" t="s">
        <v>1036</v>
      </c>
      <c r="BA60" s="447"/>
      <c r="BB60" s="447"/>
      <c r="BC60" s="447"/>
      <c r="BD60" s="447"/>
      <c r="BE60" s="448">
        <f t="shared" si="35"/>
        <v>0</v>
      </c>
      <c r="BF60" s="611"/>
      <c r="BG60" s="611"/>
      <c r="BH60" s="611"/>
      <c r="BI60" s="611"/>
      <c r="BJ60" s="451">
        <f t="shared" si="36"/>
        <v>0</v>
      </c>
      <c r="BK60" s="452">
        <f t="shared" si="37"/>
        <v>0</v>
      </c>
      <c r="BL60" s="453">
        <f t="shared" si="38"/>
        <v>0.5</v>
      </c>
      <c r="BM60" s="437">
        <f t="shared" si="39"/>
        <v>0</v>
      </c>
      <c r="BN60" s="454">
        <f t="shared" si="40"/>
        <v>2</v>
      </c>
      <c r="BO60" s="455">
        <f t="shared" si="41"/>
        <v>1</v>
      </c>
      <c r="BP60" s="456">
        <f t="shared" si="42"/>
        <v>5</v>
      </c>
      <c r="BQ60" s="453">
        <f t="shared" si="43"/>
        <v>0</v>
      </c>
      <c r="BR60" s="453"/>
      <c r="BS60" s="13">
        <f t="shared" si="44"/>
        <v>0</v>
      </c>
      <c r="BT60" s="451">
        <f t="shared" si="45"/>
        <v>18.5</v>
      </c>
      <c r="BU60" s="33"/>
    </row>
    <row r="61" spans="1:75" s="20" customFormat="1" ht="94.5" customHeight="1" x14ac:dyDescent="0.25">
      <c r="A61" s="431">
        <v>42</v>
      </c>
      <c r="B61" s="145">
        <f t="shared" si="23"/>
        <v>18.2</v>
      </c>
      <c r="C61" s="416" t="s">
        <v>982</v>
      </c>
      <c r="D61" s="416"/>
      <c r="E61" s="416" t="s">
        <v>927</v>
      </c>
      <c r="F61" s="416" t="s">
        <v>1219</v>
      </c>
      <c r="G61" s="416"/>
      <c r="H61" s="416"/>
      <c r="I61" s="416"/>
      <c r="J61" s="161"/>
      <c r="K61" s="51">
        <f>'Calculator Impact  2025'!O128</f>
        <v>1935</v>
      </c>
      <c r="L61" s="51">
        <f>'Calculator Impact  2025'!E128</f>
        <v>71498</v>
      </c>
      <c r="M61" s="433">
        <f>'Calculator Impact  2025'!P128</f>
        <v>2.7099999999999999E-2</v>
      </c>
      <c r="N61" s="200">
        <v>45778</v>
      </c>
      <c r="O61" s="33">
        <v>6</v>
      </c>
      <c r="P61" s="61" t="s">
        <v>26</v>
      </c>
      <c r="Q61" s="61" t="s">
        <v>26</v>
      </c>
      <c r="R61" s="15">
        <v>9950000</v>
      </c>
      <c r="S61" s="16">
        <v>0</v>
      </c>
      <c r="T61" s="17">
        <f t="shared" si="24"/>
        <v>9950000</v>
      </c>
      <c r="U61" s="16">
        <v>50000</v>
      </c>
      <c r="V61" s="463">
        <f t="shared" si="25"/>
        <v>10000000</v>
      </c>
      <c r="W61" s="32" t="s">
        <v>26</v>
      </c>
      <c r="X61" s="33" t="s">
        <v>1046</v>
      </c>
      <c r="Y61" s="18">
        <f t="shared" si="26"/>
        <v>10</v>
      </c>
      <c r="Z61" s="37">
        <v>0</v>
      </c>
      <c r="AA61" s="435">
        <f>'Calculator Impact  2025'!$Q$128</f>
        <v>6.77</v>
      </c>
      <c r="AB61" s="413">
        <f t="shared" si="27"/>
        <v>0</v>
      </c>
      <c r="AC61" s="414">
        <f>ROUND(IF(AB61*T61&gt;=1000000,1000000,AB61*T61),0)</f>
        <v>0</v>
      </c>
      <c r="AD61" s="413">
        <f t="shared" si="29"/>
        <v>0.45829999999999999</v>
      </c>
      <c r="AE61" s="414">
        <v>0</v>
      </c>
      <c r="AF61" s="414">
        <v>0</v>
      </c>
      <c r="AG61" s="383" t="s">
        <v>26</v>
      </c>
      <c r="AH61" s="385">
        <v>0</v>
      </c>
      <c r="AI61" s="383" t="s">
        <v>27</v>
      </c>
      <c r="AJ61" s="385">
        <f t="shared" si="47"/>
        <v>0</v>
      </c>
      <c r="AK61" s="385">
        <f>Z61+AJ61</f>
        <v>0</v>
      </c>
      <c r="AL61" s="386"/>
      <c r="AM61" s="379">
        <f t="shared" si="46"/>
        <v>0</v>
      </c>
      <c r="AN61" s="51">
        <v>0</v>
      </c>
      <c r="AO61" s="29">
        <f t="shared" si="32"/>
        <v>0</v>
      </c>
      <c r="AP61" s="443"/>
      <c r="AQ61" s="443" t="s">
        <v>1036</v>
      </c>
      <c r="AR61" s="444">
        <f t="shared" si="33"/>
        <v>10</v>
      </c>
      <c r="AS61" s="439"/>
      <c r="AT61" s="439" t="s">
        <v>1036</v>
      </c>
      <c r="AU61" s="440"/>
      <c r="AV61" s="440"/>
      <c r="AW61" s="439"/>
      <c r="AX61" s="440">
        <f t="shared" si="34"/>
        <v>10</v>
      </c>
      <c r="AY61" s="34"/>
      <c r="AZ61" s="34"/>
      <c r="BA61" s="447"/>
      <c r="BB61" s="447"/>
      <c r="BC61" s="447"/>
      <c r="BD61" s="447"/>
      <c r="BE61" s="448">
        <f t="shared" si="35"/>
        <v>0</v>
      </c>
      <c r="BF61" s="611"/>
      <c r="BG61" s="611"/>
      <c r="BH61" s="611"/>
      <c r="BI61" s="611"/>
      <c r="BJ61" s="451">
        <f t="shared" si="36"/>
        <v>0</v>
      </c>
      <c r="BK61" s="452">
        <f t="shared" si="37"/>
        <v>1</v>
      </c>
      <c r="BL61" s="453">
        <f t="shared" si="38"/>
        <v>1</v>
      </c>
      <c r="BM61" s="437">
        <f t="shared" si="39"/>
        <v>0</v>
      </c>
      <c r="BN61" s="454">
        <f t="shared" si="40"/>
        <v>0</v>
      </c>
      <c r="BO61" s="455">
        <f t="shared" si="41"/>
        <v>1.2</v>
      </c>
      <c r="BP61" s="456">
        <f t="shared" si="42"/>
        <v>5</v>
      </c>
      <c r="BQ61" s="453">
        <f t="shared" si="43"/>
        <v>0</v>
      </c>
      <c r="BR61" s="453"/>
      <c r="BS61" s="13">
        <f t="shared" si="44"/>
        <v>0</v>
      </c>
      <c r="BT61" s="451">
        <f t="shared" si="45"/>
        <v>18.2</v>
      </c>
      <c r="BU61" s="33"/>
    </row>
    <row r="62" spans="1:75" s="20" customFormat="1" ht="62" x14ac:dyDescent="0.25">
      <c r="A62" s="471">
        <v>30</v>
      </c>
      <c r="B62" s="498">
        <f t="shared" si="23"/>
        <v>18.1796875</v>
      </c>
      <c r="C62" s="473" t="s">
        <v>969</v>
      </c>
      <c r="D62" s="473" t="s">
        <v>1111</v>
      </c>
      <c r="E62" s="416" t="s">
        <v>927</v>
      </c>
      <c r="F62" s="416" t="s">
        <v>1220</v>
      </c>
      <c r="G62" s="416"/>
      <c r="H62" s="416"/>
      <c r="I62" s="416"/>
      <c r="J62" s="161"/>
      <c r="K62" s="51">
        <f>'Calculator Impact  2025'!O97</f>
        <v>441</v>
      </c>
      <c r="L62" s="51">
        <f>'Calculator Impact  2025'!E97</f>
        <v>25000</v>
      </c>
      <c r="M62" s="433">
        <f>'Calculator Impact  2025'!P97</f>
        <v>1.7600000000000001E-2</v>
      </c>
      <c r="N62" s="200">
        <v>45809</v>
      </c>
      <c r="O62" s="33">
        <v>5</v>
      </c>
      <c r="P62" s="61" t="s">
        <v>26</v>
      </c>
      <c r="Q62" s="61" t="s">
        <v>26</v>
      </c>
      <c r="R62" s="479">
        <f>1989400+170000+200000+200600</f>
        <v>2560000</v>
      </c>
      <c r="S62" s="31">
        <v>0</v>
      </c>
      <c r="T62" s="480">
        <f t="shared" si="24"/>
        <v>2560000</v>
      </c>
      <c r="U62" s="31">
        <v>5000</v>
      </c>
      <c r="V62" s="480">
        <f t="shared" si="25"/>
        <v>2565000</v>
      </c>
      <c r="W62" s="32" t="s">
        <v>26</v>
      </c>
      <c r="X62" s="33" t="s">
        <v>1046</v>
      </c>
      <c r="Y62" s="18">
        <f t="shared" si="26"/>
        <v>10</v>
      </c>
      <c r="Z62" s="37">
        <v>2150000</v>
      </c>
      <c r="AA62" s="435">
        <f>'Calculator Impact  2025'!$Q$97</f>
        <v>9</v>
      </c>
      <c r="AB62" s="413">
        <f t="shared" si="27"/>
        <v>0.81</v>
      </c>
      <c r="AC62" s="414">
        <v>0</v>
      </c>
      <c r="AD62" s="413">
        <f t="shared" si="29"/>
        <v>0.81</v>
      </c>
      <c r="AE62" s="414">
        <v>0</v>
      </c>
      <c r="AF62" s="414">
        <v>0</v>
      </c>
      <c r="AG62" s="383" t="s">
        <v>26</v>
      </c>
      <c r="AH62" s="385">
        <v>0</v>
      </c>
      <c r="AI62" s="383" t="s">
        <v>27</v>
      </c>
      <c r="AJ62" s="385">
        <f t="shared" si="47"/>
        <v>0</v>
      </c>
      <c r="AK62" s="385">
        <v>0</v>
      </c>
      <c r="AL62" s="388"/>
      <c r="AM62" s="379">
        <f t="shared" si="46"/>
        <v>0</v>
      </c>
      <c r="AN62" s="51">
        <v>0</v>
      </c>
      <c r="AO62" s="29">
        <f t="shared" si="32"/>
        <v>0.83984375</v>
      </c>
      <c r="AP62" s="443"/>
      <c r="AQ62" s="443"/>
      <c r="AR62" s="444">
        <f t="shared" si="33"/>
        <v>0</v>
      </c>
      <c r="AS62" s="439" t="s">
        <v>1036</v>
      </c>
      <c r="AT62" s="439"/>
      <c r="AU62" s="440"/>
      <c r="AV62" s="440"/>
      <c r="AW62" s="439"/>
      <c r="AX62" s="440">
        <f t="shared" si="34"/>
        <v>5</v>
      </c>
      <c r="AY62" s="34"/>
      <c r="AZ62" s="34"/>
      <c r="BA62" s="447"/>
      <c r="BB62" s="447"/>
      <c r="BC62" s="447"/>
      <c r="BD62" s="447"/>
      <c r="BE62" s="448">
        <f t="shared" si="35"/>
        <v>0</v>
      </c>
      <c r="BF62" s="611"/>
      <c r="BG62" s="611"/>
      <c r="BH62" s="611"/>
      <c r="BI62" s="611"/>
      <c r="BJ62" s="451">
        <f t="shared" si="36"/>
        <v>1.6796875</v>
      </c>
      <c r="BK62" s="452">
        <f t="shared" si="37"/>
        <v>0</v>
      </c>
      <c r="BL62" s="453">
        <f t="shared" si="38"/>
        <v>0.5</v>
      </c>
      <c r="BM62" s="437">
        <f t="shared" si="39"/>
        <v>0</v>
      </c>
      <c r="BN62" s="454">
        <f t="shared" si="40"/>
        <v>0</v>
      </c>
      <c r="BO62" s="455">
        <f t="shared" si="41"/>
        <v>1</v>
      </c>
      <c r="BP62" s="456">
        <f t="shared" si="42"/>
        <v>5</v>
      </c>
      <c r="BQ62" s="453">
        <f t="shared" si="43"/>
        <v>0</v>
      </c>
      <c r="BR62" s="453"/>
      <c r="BS62" s="13">
        <f t="shared" si="44"/>
        <v>0</v>
      </c>
      <c r="BT62" s="451">
        <f t="shared" si="45"/>
        <v>18.1796875</v>
      </c>
      <c r="BU62" s="33"/>
      <c r="BV62" s="669" t="s">
        <v>1316</v>
      </c>
    </row>
    <row r="63" spans="1:75" s="20" customFormat="1" ht="77.5" x14ac:dyDescent="0.25">
      <c r="A63" s="469">
        <v>33</v>
      </c>
      <c r="B63" s="472">
        <f t="shared" si="23"/>
        <v>17.7</v>
      </c>
      <c r="C63" s="473" t="s">
        <v>973</v>
      </c>
      <c r="D63" s="473" t="s">
        <v>1117</v>
      </c>
      <c r="E63" s="416" t="s">
        <v>927</v>
      </c>
      <c r="F63" s="416" t="s">
        <v>1221</v>
      </c>
      <c r="G63" s="416"/>
      <c r="H63" s="416"/>
      <c r="I63" s="416"/>
      <c r="J63" s="161"/>
      <c r="K63" s="51">
        <f>'Calculator Impact  2025'!O102</f>
        <v>340</v>
      </c>
      <c r="L63" s="51">
        <f>'Calculator Impact  2025'!E102</f>
        <v>58594</v>
      </c>
      <c r="M63" s="433">
        <f>'Calculator Impact  2025'!P102</f>
        <v>5.7999999999999996E-3</v>
      </c>
      <c r="N63" s="200">
        <v>45778</v>
      </c>
      <c r="O63" s="33">
        <v>6</v>
      </c>
      <c r="P63" s="61" t="s">
        <v>26</v>
      </c>
      <c r="Q63" s="61" t="s">
        <v>26</v>
      </c>
      <c r="R63" s="15">
        <f>627000+56000+60000+62000</f>
        <v>805000</v>
      </c>
      <c r="S63" s="31">
        <v>0</v>
      </c>
      <c r="T63" s="17">
        <f t="shared" si="24"/>
        <v>805000</v>
      </c>
      <c r="U63" s="16">
        <v>5000</v>
      </c>
      <c r="V63" s="420">
        <f t="shared" si="25"/>
        <v>810000</v>
      </c>
      <c r="W63" s="32" t="s">
        <v>26</v>
      </c>
      <c r="X63" s="33" t="s">
        <v>1046</v>
      </c>
      <c r="Y63" s="18">
        <f t="shared" si="26"/>
        <v>10</v>
      </c>
      <c r="Z63" s="37">
        <v>0</v>
      </c>
      <c r="AA63" s="435">
        <f>'Calculator Impact  2025'!$Q$102</f>
        <v>6.44</v>
      </c>
      <c r="AB63" s="413">
        <f t="shared" si="27"/>
        <v>0</v>
      </c>
      <c r="AC63" s="414">
        <f>ROUND(IF(AB63*T63&gt;=1000000,1000000,AB63*T63),0)</f>
        <v>0</v>
      </c>
      <c r="AD63" s="413">
        <f t="shared" si="29"/>
        <v>0.41470000000000001</v>
      </c>
      <c r="AE63" s="414">
        <v>0</v>
      </c>
      <c r="AF63" s="414">
        <v>0</v>
      </c>
      <c r="AG63" s="383" t="s">
        <v>26</v>
      </c>
      <c r="AH63" s="385">
        <v>0</v>
      </c>
      <c r="AI63" s="383" t="s">
        <v>27</v>
      </c>
      <c r="AJ63" s="385">
        <f t="shared" si="47"/>
        <v>0</v>
      </c>
      <c r="AK63" s="385">
        <f>Z63+AJ63</f>
        <v>0</v>
      </c>
      <c r="AL63" s="387"/>
      <c r="AM63" s="379">
        <f t="shared" si="46"/>
        <v>0</v>
      </c>
      <c r="AN63" s="51">
        <v>0</v>
      </c>
      <c r="AO63" s="29">
        <f t="shared" si="32"/>
        <v>0</v>
      </c>
      <c r="AP63" s="443"/>
      <c r="AQ63" s="443" t="s">
        <v>1036</v>
      </c>
      <c r="AR63" s="444">
        <f t="shared" si="33"/>
        <v>10</v>
      </c>
      <c r="AS63" s="439" t="s">
        <v>1036</v>
      </c>
      <c r="AT63" s="439"/>
      <c r="AU63" s="440"/>
      <c r="AV63" s="440"/>
      <c r="AW63" s="439"/>
      <c r="AX63" s="440">
        <f t="shared" si="34"/>
        <v>5</v>
      </c>
      <c r="AY63" s="34"/>
      <c r="AZ63" s="34"/>
      <c r="BA63" s="447"/>
      <c r="BB63" s="447"/>
      <c r="BC63" s="447"/>
      <c r="BD63" s="447"/>
      <c r="BE63" s="448">
        <f t="shared" si="35"/>
        <v>0</v>
      </c>
      <c r="BF63" s="611"/>
      <c r="BG63" s="611"/>
      <c r="BH63" s="611"/>
      <c r="BI63" s="611"/>
      <c r="BJ63" s="451">
        <f t="shared" si="36"/>
        <v>0</v>
      </c>
      <c r="BK63" s="452">
        <f t="shared" si="37"/>
        <v>1</v>
      </c>
      <c r="BL63" s="453">
        <f t="shared" si="38"/>
        <v>0.5</v>
      </c>
      <c r="BM63" s="437">
        <f t="shared" si="39"/>
        <v>0</v>
      </c>
      <c r="BN63" s="454">
        <f t="shared" si="40"/>
        <v>0</v>
      </c>
      <c r="BO63" s="455">
        <f t="shared" si="41"/>
        <v>1.2</v>
      </c>
      <c r="BP63" s="456">
        <f t="shared" si="42"/>
        <v>5</v>
      </c>
      <c r="BQ63" s="453">
        <f t="shared" si="43"/>
        <v>0</v>
      </c>
      <c r="BR63" s="453"/>
      <c r="BS63" s="13">
        <f t="shared" si="44"/>
        <v>0</v>
      </c>
      <c r="BT63" s="451">
        <f t="shared" si="45"/>
        <v>17.7</v>
      </c>
      <c r="BU63" s="33"/>
      <c r="BV63" s="107" t="s">
        <v>1082</v>
      </c>
    </row>
    <row r="64" spans="1:75" s="127" customFormat="1" ht="56.25" customHeight="1" x14ac:dyDescent="0.25">
      <c r="A64" s="431">
        <v>14</v>
      </c>
      <c r="B64" s="145">
        <f t="shared" si="23"/>
        <v>13.3</v>
      </c>
      <c r="C64" s="432" t="s">
        <v>952</v>
      </c>
      <c r="D64" s="416" t="s">
        <v>1079</v>
      </c>
      <c r="E64" s="416" t="s">
        <v>927</v>
      </c>
      <c r="F64" s="416" t="s">
        <v>1222</v>
      </c>
      <c r="G64" s="416"/>
      <c r="H64" s="416"/>
      <c r="I64" s="416"/>
      <c r="J64" s="161"/>
      <c r="K64" s="51">
        <f>'Calculator Impact  2025'!O47</f>
        <v>544</v>
      </c>
      <c r="L64" s="51">
        <f>'Calculator Impact  2025'!E47</f>
        <v>42473</v>
      </c>
      <c r="M64" s="433">
        <f>'Calculator Impact  2025'!P47</f>
        <v>1.2800000000000001E-2</v>
      </c>
      <c r="N64" s="200">
        <v>45536</v>
      </c>
      <c r="O64" s="33">
        <v>14</v>
      </c>
      <c r="P64" s="61" t="s">
        <v>26</v>
      </c>
      <c r="Q64" s="61" t="s">
        <v>27</v>
      </c>
      <c r="R64" s="15">
        <v>400000</v>
      </c>
      <c r="S64" s="126">
        <v>0</v>
      </c>
      <c r="T64" s="13">
        <f t="shared" si="24"/>
        <v>400000</v>
      </c>
      <c r="U64" s="16">
        <v>0</v>
      </c>
      <c r="V64" s="420">
        <f t="shared" si="25"/>
        <v>400000</v>
      </c>
      <c r="W64" s="32" t="s">
        <v>26</v>
      </c>
      <c r="X64" s="33" t="s">
        <v>1046</v>
      </c>
      <c r="Y64" s="18">
        <f t="shared" si="26"/>
        <v>10</v>
      </c>
      <c r="Z64" s="37">
        <v>0</v>
      </c>
      <c r="AA64" s="435">
        <f>'Calculator Impact  2025'!$Q$47</f>
        <v>6.77</v>
      </c>
      <c r="AB64" s="413">
        <f t="shared" si="27"/>
        <v>0</v>
      </c>
      <c r="AC64" s="414">
        <f>ROUND(IF(AB64*T64&gt;=1000000,1000000,AB64*T64),0)</f>
        <v>0</v>
      </c>
      <c r="AD64" s="413">
        <f t="shared" si="29"/>
        <v>0.45829999999999999</v>
      </c>
      <c r="AE64" s="414">
        <v>0</v>
      </c>
      <c r="AF64" s="414">
        <v>0</v>
      </c>
      <c r="AG64" s="383" t="s">
        <v>27</v>
      </c>
      <c r="AH64" s="385">
        <v>0</v>
      </c>
      <c r="AI64" s="383"/>
      <c r="AJ64" s="385">
        <f t="shared" si="47"/>
        <v>0</v>
      </c>
      <c r="AK64" s="385">
        <f>Z64+AJ64</f>
        <v>0</v>
      </c>
      <c r="AL64" s="388"/>
      <c r="AM64" s="379">
        <f t="shared" si="46"/>
        <v>0</v>
      </c>
      <c r="AN64" s="51">
        <v>0</v>
      </c>
      <c r="AO64" s="29">
        <f t="shared" si="32"/>
        <v>0</v>
      </c>
      <c r="AP64" s="445"/>
      <c r="AQ64" s="445"/>
      <c r="AR64" s="446">
        <f t="shared" si="33"/>
        <v>0</v>
      </c>
      <c r="AS64" s="441" t="s">
        <v>1036</v>
      </c>
      <c r="AT64" s="441"/>
      <c r="AU64" s="441"/>
      <c r="AV64" s="442"/>
      <c r="AW64" s="441"/>
      <c r="AX64" s="442">
        <f t="shared" si="34"/>
        <v>5</v>
      </c>
      <c r="AY64" s="33"/>
      <c r="AZ64" s="33"/>
      <c r="BA64" s="449"/>
      <c r="BB64" s="449"/>
      <c r="BC64" s="449"/>
      <c r="BD64" s="449"/>
      <c r="BE64" s="450">
        <f t="shared" si="35"/>
        <v>0</v>
      </c>
      <c r="BF64" s="613"/>
      <c r="BG64" s="613"/>
      <c r="BH64" s="613"/>
      <c r="BI64" s="613"/>
      <c r="BJ64" s="457">
        <f t="shared" si="36"/>
        <v>0</v>
      </c>
      <c r="BK64" s="458">
        <f t="shared" si="37"/>
        <v>0</v>
      </c>
      <c r="BL64" s="459">
        <f t="shared" si="38"/>
        <v>0.5</v>
      </c>
      <c r="BM64" s="438">
        <f t="shared" si="39"/>
        <v>0</v>
      </c>
      <c r="BN64" s="454">
        <f t="shared" si="40"/>
        <v>0</v>
      </c>
      <c r="BO64" s="455">
        <f t="shared" si="41"/>
        <v>2.8</v>
      </c>
      <c r="BP64" s="456">
        <f t="shared" si="42"/>
        <v>0</v>
      </c>
      <c r="BQ64" s="459">
        <f t="shared" si="43"/>
        <v>0</v>
      </c>
      <c r="BR64" s="459"/>
      <c r="BS64" s="13">
        <f t="shared" si="44"/>
        <v>0</v>
      </c>
      <c r="BT64" s="457">
        <f t="shared" si="45"/>
        <v>13.3</v>
      </c>
      <c r="BU64" s="33"/>
      <c r="BV64" s="20"/>
      <c r="BW64" s="20"/>
    </row>
    <row r="65" spans="1:75" s="127" customFormat="1" ht="65.150000000000006" customHeight="1" x14ac:dyDescent="0.25">
      <c r="A65" s="430">
        <v>28</v>
      </c>
      <c r="B65" s="145">
        <f t="shared" si="23"/>
        <v>12.5</v>
      </c>
      <c r="C65" s="416" t="s">
        <v>968</v>
      </c>
      <c r="D65" s="416" t="s">
        <v>1051</v>
      </c>
      <c r="E65" s="416" t="s">
        <v>930</v>
      </c>
      <c r="F65" s="416" t="s">
        <v>1223</v>
      </c>
      <c r="G65" s="416"/>
      <c r="H65" s="416"/>
      <c r="I65" s="416"/>
      <c r="J65" s="161"/>
      <c r="K65" s="51">
        <f>'Calculator Impact  2025'!O93</f>
        <v>679</v>
      </c>
      <c r="L65" s="51">
        <f>'Calculator Impact  2025'!E93</f>
        <v>20333</v>
      </c>
      <c r="M65" s="433">
        <f>'Calculator Impact  2025'!P93</f>
        <v>3.3399999999999999E-2</v>
      </c>
      <c r="N65" s="200">
        <v>46388</v>
      </c>
      <c r="O65" s="33">
        <v>0</v>
      </c>
      <c r="P65" s="61" t="s">
        <v>26</v>
      </c>
      <c r="Q65" s="61" t="s">
        <v>27</v>
      </c>
      <c r="R65" s="15">
        <v>2715000</v>
      </c>
      <c r="S65" s="126">
        <v>715000</v>
      </c>
      <c r="T65" s="13">
        <f t="shared" si="24"/>
        <v>2000000</v>
      </c>
      <c r="U65" s="16">
        <v>5000</v>
      </c>
      <c r="V65" s="420">
        <f t="shared" si="25"/>
        <v>2005000</v>
      </c>
      <c r="W65" s="32" t="s">
        <v>26</v>
      </c>
      <c r="X65" s="33" t="s">
        <v>1046</v>
      </c>
      <c r="Y65" s="18">
        <f t="shared" si="26"/>
        <v>10</v>
      </c>
      <c r="Z65" s="37">
        <v>0</v>
      </c>
      <c r="AA65" s="435">
        <f>'Calculator Impact  2025'!$Q$93</f>
        <v>13.29</v>
      </c>
      <c r="AB65" s="413">
        <f t="shared" si="27"/>
        <v>1</v>
      </c>
      <c r="AC65" s="414">
        <v>0</v>
      </c>
      <c r="AD65" s="413">
        <f t="shared" si="29"/>
        <v>1</v>
      </c>
      <c r="AE65" s="414">
        <v>0</v>
      </c>
      <c r="AF65" s="414">
        <v>0</v>
      </c>
      <c r="AG65" s="383" t="s">
        <v>26</v>
      </c>
      <c r="AH65" s="385">
        <v>0</v>
      </c>
      <c r="AI65" s="383" t="s">
        <v>27</v>
      </c>
      <c r="AJ65" s="385">
        <f t="shared" si="47"/>
        <v>0</v>
      </c>
      <c r="AK65" s="385">
        <f>Z65+AJ65</f>
        <v>0</v>
      </c>
      <c r="AL65" s="388"/>
      <c r="AM65" s="379">
        <f t="shared" si="46"/>
        <v>0</v>
      </c>
      <c r="AN65" s="51">
        <v>0</v>
      </c>
      <c r="AO65" s="29">
        <f t="shared" si="32"/>
        <v>0</v>
      </c>
      <c r="AP65" s="445"/>
      <c r="AQ65" s="445"/>
      <c r="AR65" s="446">
        <f t="shared" si="33"/>
        <v>0</v>
      </c>
      <c r="AS65" s="441" t="s">
        <v>1036</v>
      </c>
      <c r="AT65" s="441"/>
      <c r="AU65" s="442"/>
      <c r="AV65" s="442"/>
      <c r="AW65" s="441"/>
      <c r="AX65" s="442">
        <f t="shared" si="34"/>
        <v>5</v>
      </c>
      <c r="AY65" s="33"/>
      <c r="AZ65" s="33" t="s">
        <v>1036</v>
      </c>
      <c r="BA65" s="449"/>
      <c r="BB65" s="449"/>
      <c r="BC65" s="449"/>
      <c r="BD65" s="449"/>
      <c r="BE65" s="450">
        <f t="shared" si="35"/>
        <v>0</v>
      </c>
      <c r="BF65" s="613"/>
      <c r="BG65" s="613"/>
      <c r="BH65" s="613"/>
      <c r="BI65" s="613"/>
      <c r="BJ65" s="457">
        <f t="shared" si="36"/>
        <v>0</v>
      </c>
      <c r="BK65" s="458">
        <f t="shared" si="37"/>
        <v>0</v>
      </c>
      <c r="BL65" s="459">
        <f t="shared" si="38"/>
        <v>0.5</v>
      </c>
      <c r="BM65" s="438">
        <f t="shared" si="39"/>
        <v>0</v>
      </c>
      <c r="BN65" s="454">
        <f t="shared" si="40"/>
        <v>2</v>
      </c>
      <c r="BO65" s="455">
        <f t="shared" si="41"/>
        <v>0</v>
      </c>
      <c r="BP65" s="456">
        <f t="shared" si="42"/>
        <v>0</v>
      </c>
      <c r="BQ65" s="459">
        <f t="shared" si="43"/>
        <v>0</v>
      </c>
      <c r="BR65" s="459"/>
      <c r="BS65" s="13">
        <f t="shared" si="44"/>
        <v>0</v>
      </c>
      <c r="BT65" s="457">
        <f t="shared" si="45"/>
        <v>12.5</v>
      </c>
      <c r="BU65" s="33"/>
      <c r="BV65" s="20"/>
      <c r="BW65" s="380"/>
    </row>
    <row r="66" spans="1:75" s="20" customFormat="1" ht="46.5" x14ac:dyDescent="0.25">
      <c r="A66" s="430">
        <v>0</v>
      </c>
      <c r="B66" s="145"/>
      <c r="C66" s="432" t="s">
        <v>1109</v>
      </c>
      <c r="D66" s="432"/>
      <c r="E66" s="432"/>
      <c r="F66" s="12" t="s">
        <v>1183</v>
      </c>
      <c r="G66" s="432"/>
      <c r="H66" s="432"/>
      <c r="I66" s="432"/>
      <c r="J66" s="162"/>
      <c r="K66" s="51"/>
      <c r="L66" s="51"/>
      <c r="M66" s="434"/>
      <c r="N66" s="201" t="s">
        <v>1184</v>
      </c>
      <c r="O66" s="34"/>
      <c r="P66" s="153"/>
      <c r="Q66" s="153" t="s">
        <v>1184</v>
      </c>
      <c r="R66" s="134">
        <v>4328111</v>
      </c>
      <c r="S66" s="16">
        <v>0</v>
      </c>
      <c r="T66" s="17">
        <f t="shared" ref="T66" si="48">R66-S66</f>
        <v>4328111</v>
      </c>
      <c r="U66" s="16">
        <v>0</v>
      </c>
      <c r="V66" s="17">
        <f t="shared" ref="V66" si="49">IF((T66+U66)&gt;10000000,10000000,(T66+U66))</f>
        <v>4328111</v>
      </c>
      <c r="W66" s="136"/>
      <c r="X66" s="34"/>
      <c r="Y66" s="19" t="str">
        <f t="shared" ref="Y66" si="50">IF(X66="5L",10,IF(X66="5M",16,IF(X66="5H",22,IF(X66="4L",15,IF(X66="4M",21,IF(X66="4H",27,IF(X66="3L",20,IF(X66="3M",26,IF(X66="3H",32,IF(X66="2L",25,IF(X66="2M",31,IF(X66="2H",37,IF(X66="1L",30,IF(X66="1M",36,IF(X66="1H",42,"")))))))))))))))</f>
        <v/>
      </c>
      <c r="Z66" s="37">
        <v>4328111</v>
      </c>
      <c r="AA66" s="435"/>
      <c r="AB66" s="413">
        <f t="shared" ref="AB66" si="51">ROUND(IF($AA66&gt;=10,1,IF($AA66&gt;=7,$AA66*$AA66/100,0)),4)</f>
        <v>0</v>
      </c>
      <c r="AC66" s="414">
        <f t="shared" ref="AC66" si="52">ROUND(IF(AB66*T66&gt;=1000000,1000000,AB66*T66),0)</f>
        <v>0</v>
      </c>
      <c r="AD66" s="413">
        <f t="shared" ref="AD66" si="53">ROUND(IF($AA66&gt;=10,1,IF($AA66&gt;=6,$AA66*$AA66/100,0)),4)</f>
        <v>0</v>
      </c>
      <c r="AE66" s="414">
        <f t="shared" ref="AE66" si="54">ROUND(IF(AD66*V66&gt;=1000000,1000000,AD66*V66),0)</f>
        <v>0</v>
      </c>
      <c r="AF66" s="559">
        <v>0</v>
      </c>
      <c r="AG66" s="389" t="s">
        <v>26</v>
      </c>
      <c r="AH66" s="385">
        <v>0</v>
      </c>
      <c r="AI66" s="389"/>
      <c r="AJ66" s="385">
        <f t="shared" ref="AJ66" si="55">IF(AI66="Yes",25000,0)</f>
        <v>0</v>
      </c>
      <c r="AK66" s="385">
        <f t="shared" ref="AK66" si="56">Z66+AJ66</f>
        <v>4328111</v>
      </c>
      <c r="AL66" s="390"/>
      <c r="AM66" s="379">
        <v>0</v>
      </c>
      <c r="AN66" s="51">
        <v>4328111</v>
      </c>
      <c r="AO66" s="29">
        <f t="shared" ref="AO66" si="57">Z66/R66</f>
        <v>1</v>
      </c>
      <c r="AP66" s="443"/>
      <c r="AQ66" s="443"/>
      <c r="AR66" s="444">
        <f t="shared" ref="AR66" si="58">IF(AP66&lt;&gt;0,$AP$5,IF(AQ66&lt;&gt;0,$AQ$5,0))</f>
        <v>0</v>
      </c>
      <c r="AS66" s="439"/>
      <c r="AT66" s="439"/>
      <c r="AU66" s="440"/>
      <c r="AV66" s="440"/>
      <c r="AW66" s="439"/>
      <c r="AX66" s="440">
        <f t="shared" ref="AX66" si="59">IF(AS66&lt;&gt;0,$AS$5,IF(AT66&lt;&gt;0,$AT$5,IF(AU66&lt;&gt;0,$AU$5,IF(AV66&lt;&gt;0,$AV$5,IF(AW66&lt;&gt;0,$AW$5,0)))))</f>
        <v>0</v>
      </c>
      <c r="AY66" s="34"/>
      <c r="AZ66" s="34"/>
      <c r="BA66" s="447"/>
      <c r="BB66" s="447"/>
      <c r="BC66" s="447"/>
      <c r="BD66" s="447"/>
      <c r="BE66" s="448">
        <f t="shared" ref="BE66" si="60">IF(BA66&lt;&gt;0,$BA$5,IF(BB66&lt;&gt;0,$BB$5,IF(BC66&lt;&gt;0,$BC$5,IF(BD66&lt;&gt;0,$BD$5,0))))</f>
        <v>0</v>
      </c>
      <c r="BF66" s="611"/>
      <c r="BG66" s="611"/>
      <c r="BH66" s="611"/>
      <c r="BI66" s="611"/>
      <c r="BJ66" s="451" t="e">
        <f t="shared" ref="BJ66" si="61">AO66*$AO$5*Y66</f>
        <v>#VALUE!</v>
      </c>
      <c r="BK66" s="452" t="e">
        <f t="shared" ref="BK66" si="62">(AR66*Y66)/100</f>
        <v>#VALUE!</v>
      </c>
      <c r="BL66" s="453" t="e">
        <f t="shared" ref="BL66" si="63">(AX66*Y66)/100</f>
        <v>#VALUE!</v>
      </c>
      <c r="BM66" s="437">
        <f t="shared" ref="BM66" si="64">IF(AY66&lt;&gt;0,($AY$5*Y66)/100,0)</f>
        <v>0</v>
      </c>
      <c r="BN66" s="456">
        <f t="shared" ref="BN66" si="65">IF(AZ66&lt;&gt;0,($AZ$5*Y66)/100,0)</f>
        <v>0</v>
      </c>
      <c r="BO66" s="455" t="e">
        <f t="shared" ref="BO66" si="66">((O66*$BO$5)*Y66)/100</f>
        <v>#VALUE!</v>
      </c>
      <c r="BP66" s="456">
        <f t="shared" ref="BP66" si="67">IF(Q66="Yes",$BP$5, 0)</f>
        <v>0</v>
      </c>
      <c r="BQ66" s="453" t="e">
        <f t="shared" ref="BQ66" si="68">(BE66*Y66)/100</f>
        <v>#VALUE!</v>
      </c>
      <c r="BR66" s="453"/>
      <c r="BS66" s="17">
        <f t="shared" ref="BS66" si="69">AM66+AN66</f>
        <v>4328111</v>
      </c>
      <c r="BT66" s="451">
        <v>0</v>
      </c>
      <c r="BU66" s="33"/>
    </row>
    <row r="67" spans="1:75" s="20" customFormat="1" ht="15.5" x14ac:dyDescent="0.25">
      <c r="A67" s="128"/>
      <c r="B67" s="129"/>
      <c r="C67" s="130"/>
      <c r="D67" s="130"/>
      <c r="E67" s="130"/>
      <c r="F67" s="130"/>
      <c r="G67" s="130"/>
      <c r="H67" s="130"/>
      <c r="I67" s="130"/>
      <c r="J67" s="163"/>
      <c r="K67" s="131"/>
      <c r="L67" s="131"/>
      <c r="M67" s="132"/>
      <c r="N67" s="202"/>
      <c r="O67" s="138"/>
      <c r="P67" s="132"/>
      <c r="Q67" s="132"/>
      <c r="R67" s="133"/>
      <c r="S67" s="125"/>
      <c r="T67" s="118"/>
      <c r="U67" s="117"/>
      <c r="V67" s="118"/>
      <c r="W67" s="135"/>
      <c r="X67" s="137"/>
      <c r="Y67" s="138"/>
      <c r="Z67" s="131"/>
      <c r="AA67" s="129"/>
      <c r="AB67" s="132"/>
      <c r="AC67" s="139"/>
      <c r="AD67" s="132"/>
      <c r="AE67" s="139"/>
      <c r="AF67" s="139"/>
      <c r="AG67" s="135"/>
      <c r="AH67" s="140"/>
      <c r="AI67" s="135"/>
      <c r="AJ67" s="139"/>
      <c r="AK67" s="140"/>
      <c r="AL67" s="141"/>
      <c r="AM67" s="139"/>
      <c r="AN67" s="140"/>
      <c r="AO67" s="142"/>
      <c r="AP67" s="120"/>
      <c r="AQ67" s="119"/>
      <c r="AR67" s="120"/>
      <c r="AS67" s="119"/>
      <c r="AT67" s="119"/>
      <c r="AU67" s="120"/>
      <c r="AV67" s="120"/>
      <c r="AW67" s="119"/>
      <c r="AX67" s="120"/>
      <c r="AY67" s="119"/>
      <c r="AZ67" s="119"/>
      <c r="BA67" s="122"/>
      <c r="BB67" s="122"/>
      <c r="BC67" s="122"/>
      <c r="BD67" s="122"/>
      <c r="BE67" s="120"/>
      <c r="BF67" s="614"/>
      <c r="BG67" s="614"/>
      <c r="BH67" s="614"/>
      <c r="BI67" s="614"/>
      <c r="BJ67" s="123"/>
      <c r="BK67" s="124"/>
      <c r="BL67" s="121"/>
      <c r="BM67" s="120"/>
      <c r="BN67" s="143"/>
      <c r="BO67" s="376"/>
      <c r="BP67" s="195"/>
      <c r="BQ67" s="121"/>
      <c r="BR67" s="121"/>
      <c r="BS67" s="140"/>
      <c r="BT67" s="123"/>
      <c r="BU67" s="144"/>
    </row>
    <row r="68" spans="1:75" s="70" customFormat="1" ht="25" customHeight="1" x14ac:dyDescent="0.25">
      <c r="A68" s="382"/>
      <c r="B68" s="76"/>
      <c r="C68" s="77"/>
      <c r="D68" s="77"/>
      <c r="E68" s="77"/>
      <c r="F68" s="77"/>
      <c r="G68" s="77"/>
      <c r="H68" s="89"/>
      <c r="I68" s="89"/>
      <c r="J68" s="164"/>
      <c r="K68" s="79"/>
      <c r="L68" s="79"/>
      <c r="M68" s="80"/>
      <c r="N68" s="203"/>
      <c r="O68" s="78"/>
      <c r="P68" s="80"/>
      <c r="Q68" s="80"/>
      <c r="R68" s="79">
        <f>SUM(R8:R67)</f>
        <v>546837191</v>
      </c>
      <c r="S68" s="79">
        <f>SUM(S8:S67)</f>
        <v>150654368</v>
      </c>
      <c r="T68" s="79">
        <f>SUM(T8:T67)</f>
        <v>396182823</v>
      </c>
      <c r="U68" s="79">
        <f>SUM(U8:U67)</f>
        <v>210000</v>
      </c>
      <c r="V68" s="79">
        <f>SUM(V8:V67)</f>
        <v>269987753</v>
      </c>
      <c r="W68" s="79"/>
      <c r="X68" s="79"/>
      <c r="Y68" s="79"/>
      <c r="Z68" s="79">
        <f>SUM(Z8:Z67)</f>
        <v>176471314</v>
      </c>
      <c r="AA68" s="79"/>
      <c r="AB68" s="79"/>
      <c r="AC68" s="79">
        <f>SUM(AC8:AC66)</f>
        <v>1675700</v>
      </c>
      <c r="AD68" s="79"/>
      <c r="AE68" s="79">
        <f t="shared" ref="AE68:AM68" si="70">SUM(AE8:AE66)</f>
        <v>6625960</v>
      </c>
      <c r="AF68" s="79">
        <f t="shared" si="70"/>
        <v>1580160</v>
      </c>
      <c r="AG68" s="79">
        <f t="shared" si="70"/>
        <v>0</v>
      </c>
      <c r="AH68" s="79">
        <f t="shared" si="70"/>
        <v>70000</v>
      </c>
      <c r="AI68" s="79">
        <f t="shared" si="70"/>
        <v>0</v>
      </c>
      <c r="AJ68" s="79">
        <f t="shared" si="70"/>
        <v>70000</v>
      </c>
      <c r="AK68" s="79">
        <f t="shared" si="70"/>
        <v>6328111</v>
      </c>
      <c r="AL68" s="79">
        <f t="shared" si="70"/>
        <v>0</v>
      </c>
      <c r="AM68" s="79">
        <f t="shared" si="70"/>
        <v>10441660</v>
      </c>
      <c r="AN68" s="79">
        <f>SUM(AN8:AN67)</f>
        <v>53908111</v>
      </c>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377"/>
      <c r="BP68" s="79"/>
      <c r="BQ68" s="79"/>
      <c r="BR68" s="79"/>
      <c r="BS68" s="79">
        <f>SUM(BS8:BS67)</f>
        <v>64349771</v>
      </c>
      <c r="BT68" s="76"/>
      <c r="BU68" s="69"/>
    </row>
    <row r="69" spans="1:75" s="70" customFormat="1" ht="25" customHeight="1" x14ac:dyDescent="0.25">
      <c r="B69" s="83"/>
      <c r="H69" s="90"/>
      <c r="I69" s="90"/>
      <c r="J69" s="165"/>
      <c r="K69" s="71"/>
      <c r="L69" s="71"/>
      <c r="M69" s="72"/>
      <c r="N69" s="204"/>
      <c r="O69" s="69"/>
      <c r="P69" s="72"/>
      <c r="Q69" s="72"/>
      <c r="R69" s="71"/>
      <c r="S69" s="71"/>
      <c r="T69" s="71"/>
      <c r="U69" s="71"/>
      <c r="V69" s="71"/>
      <c r="W69" s="71"/>
      <c r="X69" s="71"/>
      <c r="Y69" s="71"/>
      <c r="Z69" s="71"/>
      <c r="AA69" s="71"/>
      <c r="AB69" s="71"/>
      <c r="AI69" s="71"/>
      <c r="AJ69" s="66"/>
      <c r="AK69" s="71"/>
      <c r="AL69" s="66"/>
      <c r="AM69" s="71">
        <v>1907108</v>
      </c>
      <c r="AN69" s="71"/>
      <c r="AO69" s="88"/>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378"/>
      <c r="BQ69" s="71"/>
      <c r="BR69" s="71"/>
      <c r="BS69" s="71">
        <v>1907108</v>
      </c>
      <c r="BT69" s="71"/>
      <c r="BU69" s="71"/>
      <c r="BV69" s="67"/>
      <c r="BW69" s="149"/>
    </row>
    <row r="70" spans="1:75" s="68" customFormat="1" ht="14.5" customHeight="1" x14ac:dyDescent="0.3">
      <c r="B70" s="69"/>
      <c r="C70" s="70"/>
      <c r="D70" s="70"/>
      <c r="E70" s="70"/>
      <c r="F70" s="70"/>
      <c r="G70" s="70"/>
      <c r="H70" s="65"/>
      <c r="I70" s="65"/>
      <c r="J70" s="69"/>
      <c r="K70" s="71"/>
      <c r="L70" s="71"/>
      <c r="M70" s="72"/>
      <c r="N70" s="204"/>
      <c r="O70" s="69"/>
      <c r="P70" s="72"/>
      <c r="Q70" s="72"/>
      <c r="R70" s="71"/>
      <c r="S70" s="71"/>
      <c r="T70" s="71"/>
      <c r="U70" s="71"/>
      <c r="V70" s="71"/>
      <c r="W70" s="71"/>
      <c r="X70" s="66"/>
      <c r="Y70" s="71"/>
      <c r="Z70" s="71"/>
      <c r="AA70" s="71"/>
      <c r="AB70" s="71"/>
      <c r="AC70" s="71"/>
      <c r="AD70" s="72"/>
      <c r="AE70" s="71"/>
      <c r="AF70" s="71"/>
      <c r="AG70" s="72"/>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378"/>
      <c r="BQ70" s="71"/>
      <c r="BR70" s="71"/>
      <c r="BS70" s="71"/>
      <c r="BT70" s="71"/>
      <c r="BU70" s="71"/>
      <c r="BV70" s="73"/>
      <c r="BW70" s="150"/>
    </row>
    <row r="71" spans="1:75" s="68" customFormat="1" ht="14" x14ac:dyDescent="0.3">
      <c r="B71" s="69"/>
      <c r="C71" s="70"/>
      <c r="D71" s="70"/>
      <c r="E71" s="70"/>
      <c r="F71" s="70"/>
      <c r="G71" s="70"/>
      <c r="H71" s="65"/>
      <c r="I71" s="65"/>
      <c r="J71" s="69"/>
      <c r="K71" s="71"/>
      <c r="L71" s="71"/>
      <c r="M71" s="72"/>
      <c r="N71" s="204"/>
      <c r="O71" s="69"/>
      <c r="P71" s="72"/>
      <c r="Q71" s="72"/>
      <c r="R71" s="71"/>
      <c r="S71" s="71"/>
      <c r="T71" s="71"/>
      <c r="U71" s="71"/>
      <c r="V71" s="71"/>
      <c r="W71" s="71"/>
      <c r="X71" s="66"/>
      <c r="Y71" s="71"/>
      <c r="Z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378"/>
      <c r="BQ71" s="71"/>
      <c r="BR71" s="71"/>
      <c r="BS71" s="71"/>
      <c r="BT71" s="71"/>
      <c r="BU71" s="71"/>
      <c r="BV71" s="73"/>
      <c r="BW71" s="150"/>
    </row>
    <row r="72" spans="1:75" x14ac:dyDescent="0.25">
      <c r="S72" s="8"/>
      <c r="T72" s="8"/>
      <c r="U72" s="8"/>
      <c r="V72" s="48"/>
      <c r="W72" s="23"/>
      <c r="X72" s="23"/>
      <c r="Y72" s="8"/>
      <c r="Z72" s="8"/>
      <c r="AA72" s="1"/>
      <c r="AB72" s="1"/>
      <c r="AC72" s="1"/>
      <c r="AD72" s="1"/>
      <c r="AE72" s="1"/>
      <c r="AF72" s="1"/>
      <c r="AG72" s="1"/>
      <c r="AH72" s="1"/>
      <c r="AI72" s="1"/>
      <c r="AJ72" s="42"/>
      <c r="AK72" s="8"/>
      <c r="AL72" s="23"/>
      <c r="AM72" s="8"/>
      <c r="AN72" s="8"/>
      <c r="AO72" s="8"/>
      <c r="AP72" s="49"/>
      <c r="AQ72" s="8"/>
      <c r="AR72" s="23"/>
      <c r="AS72" s="23"/>
      <c r="AT72" s="23"/>
      <c r="AU72" s="23"/>
      <c r="AV72" s="23"/>
      <c r="AW72" s="23"/>
      <c r="AX72" s="23"/>
      <c r="AY72" s="23"/>
      <c r="AZ72" s="23"/>
      <c r="BA72" s="23"/>
      <c r="BB72" s="23"/>
      <c r="BC72" s="23"/>
      <c r="BD72" s="23"/>
      <c r="BE72" s="23"/>
      <c r="BF72" s="23"/>
      <c r="BG72" s="23"/>
      <c r="BH72" s="23"/>
      <c r="BI72" s="23"/>
      <c r="BJ72" s="23"/>
      <c r="BK72" s="23"/>
      <c r="BL72" s="23"/>
      <c r="BM72" s="8"/>
      <c r="BN72" s="8"/>
      <c r="BO72" s="44"/>
      <c r="BP72" s="44"/>
      <c r="BQ72" s="44"/>
      <c r="BR72" s="44"/>
      <c r="BS72" s="8"/>
      <c r="BT72" s="8"/>
      <c r="BU72" s="8"/>
      <c r="BW72" s="151"/>
    </row>
    <row r="73" spans="1:75" x14ac:dyDescent="0.25">
      <c r="S73" s="8"/>
      <c r="T73" s="8"/>
      <c r="U73" s="8"/>
      <c r="V73" s="8"/>
      <c r="W73" s="23"/>
      <c r="X73" s="23"/>
      <c r="Y73" s="8"/>
      <c r="Z73" s="8"/>
      <c r="AA73" s="1"/>
      <c r="AB73" s="1"/>
      <c r="AC73" s="1"/>
      <c r="AD73" s="1"/>
      <c r="AE73" s="1"/>
      <c r="AF73" s="1"/>
      <c r="AG73" s="1"/>
      <c r="AH73" s="1"/>
      <c r="AI73" s="1"/>
      <c r="AJ73" s="8"/>
      <c r="AK73" s="42"/>
      <c r="AL73" s="8"/>
      <c r="AM73" s="23"/>
      <c r="AN73" s="8"/>
      <c r="AO73" s="8"/>
      <c r="AP73" s="49"/>
      <c r="AQ73" s="8"/>
      <c r="AR73" s="23"/>
      <c r="AS73" s="23"/>
      <c r="AT73" s="23"/>
      <c r="AU73" s="23"/>
      <c r="AV73" s="23"/>
      <c r="AW73" s="23"/>
      <c r="AX73" s="23"/>
      <c r="AY73" s="23"/>
      <c r="AZ73" s="23"/>
      <c r="BA73" s="23"/>
      <c r="BB73" s="23"/>
      <c r="BC73" s="23"/>
      <c r="BD73" s="23"/>
      <c r="BE73" s="23"/>
      <c r="BF73" s="23"/>
      <c r="BG73" s="23"/>
      <c r="BH73" s="23"/>
      <c r="BI73" s="23"/>
      <c r="BJ73" s="23"/>
      <c r="BK73" s="23"/>
      <c r="BL73" s="23"/>
      <c r="BM73" s="8"/>
      <c r="BN73" s="8"/>
      <c r="BO73" s="44"/>
      <c r="BP73" s="44"/>
      <c r="BQ73" s="44"/>
      <c r="BR73" s="44"/>
      <c r="BS73" s="8"/>
      <c r="BT73" s="8"/>
      <c r="BU73" s="8"/>
      <c r="BW73" s="151"/>
    </row>
    <row r="74" spans="1:75" ht="15.75" customHeight="1" x14ac:dyDescent="0.25">
      <c r="B74" s="725" t="s">
        <v>38</v>
      </c>
      <c r="C74" s="725"/>
      <c r="S74" s="8"/>
      <c r="T74" s="8"/>
      <c r="U74" s="8"/>
      <c r="V74" s="8"/>
      <c r="W74" s="23"/>
      <c r="X74" s="23"/>
      <c r="Y74" s="8"/>
      <c r="Z74" s="8"/>
      <c r="AA74" s="1"/>
      <c r="AB74" s="1"/>
      <c r="AC74" s="1"/>
      <c r="AD74" s="1"/>
      <c r="AE74" s="1"/>
      <c r="AF74" s="1"/>
      <c r="AG74" s="1"/>
      <c r="AH74" s="1"/>
      <c r="AI74" s="1"/>
      <c r="AJ74" s="8"/>
      <c r="AK74" s="42"/>
      <c r="AL74" s="8"/>
      <c r="AM74" s="23"/>
      <c r="AN74" s="8"/>
      <c r="AO74" s="8"/>
      <c r="AP74" s="49"/>
      <c r="AQ74" s="8"/>
      <c r="AR74" s="23"/>
      <c r="AS74" s="23"/>
      <c r="AT74" s="23"/>
      <c r="AU74" s="23"/>
      <c r="AV74" s="23"/>
      <c r="AW74" s="23"/>
      <c r="AX74" s="23"/>
      <c r="AY74" s="23"/>
      <c r="AZ74" s="23"/>
      <c r="BA74" s="23"/>
      <c r="BB74" s="23"/>
      <c r="BC74" s="23"/>
      <c r="BD74" s="23"/>
      <c r="BE74" s="23"/>
      <c r="BF74" s="23"/>
      <c r="BG74" s="23"/>
      <c r="BH74" s="23"/>
      <c r="BI74" s="23"/>
      <c r="BJ74" s="23"/>
      <c r="BK74" s="23"/>
      <c r="BL74" s="23"/>
      <c r="BM74" s="8"/>
      <c r="BN74" s="8"/>
      <c r="BO74" s="44"/>
      <c r="BP74" s="44"/>
      <c r="BQ74" s="44"/>
      <c r="BR74" s="44"/>
      <c r="BS74" s="8"/>
      <c r="BT74" s="8"/>
      <c r="BU74" s="8"/>
      <c r="BW74" s="151"/>
    </row>
    <row r="75" spans="1:75" x14ac:dyDescent="0.25">
      <c r="B75" s="713" t="s">
        <v>24</v>
      </c>
      <c r="C75" s="713"/>
      <c r="D75" s="713"/>
      <c r="E75" s="423"/>
      <c r="F75" s="423"/>
      <c r="G75" s="423"/>
      <c r="H75" s="25"/>
      <c r="I75" s="25"/>
      <c r="J75" s="108"/>
      <c r="S75" s="8"/>
      <c r="U75" s="8"/>
      <c r="Z75" s="6"/>
      <c r="AA75" s="1"/>
      <c r="AB75" s="1"/>
      <c r="AC75" s="1"/>
      <c r="AD75" s="1"/>
      <c r="AE75" s="1"/>
      <c r="AF75" s="1"/>
      <c r="AG75" s="1"/>
      <c r="AH75" s="1"/>
      <c r="AI75" s="1"/>
      <c r="AK75" s="22"/>
      <c r="AL75" s="6"/>
      <c r="AM75" s="22"/>
      <c r="AN75" s="6"/>
      <c r="AO75" s="6"/>
      <c r="AQ75" s="6"/>
      <c r="AR75" s="22"/>
      <c r="BW75" s="151"/>
    </row>
    <row r="76" spans="1:75" x14ac:dyDescent="0.3">
      <c r="B76" s="712" t="s">
        <v>34</v>
      </c>
      <c r="C76" s="712"/>
      <c r="D76" s="712"/>
      <c r="E76" s="712"/>
      <c r="F76" s="712"/>
      <c r="G76" s="712"/>
      <c r="H76" s="712"/>
      <c r="I76" s="424"/>
      <c r="R76" s="1"/>
      <c r="S76" s="1"/>
      <c r="T76" s="1"/>
      <c r="U76" s="1"/>
      <c r="V76" s="1"/>
      <c r="W76" s="1"/>
      <c r="X76" s="1"/>
      <c r="Y76" s="1"/>
      <c r="Z76" s="1"/>
      <c r="AA76" s="1"/>
      <c r="AB76" s="1"/>
      <c r="AC76" s="1"/>
      <c r="AD76" s="1"/>
      <c r="AE76" s="1"/>
      <c r="AF76" s="1"/>
      <c r="AG76" s="1"/>
      <c r="AH76" s="1"/>
      <c r="AI76" s="1"/>
      <c r="AJ76" s="1"/>
      <c r="AK76" s="1"/>
      <c r="AL76" s="1"/>
      <c r="AM76" s="1"/>
      <c r="AN76" s="1"/>
      <c r="AO76" s="1"/>
      <c r="AP76" s="50"/>
      <c r="AQ76" s="1"/>
      <c r="AR76" s="1"/>
      <c r="AS76" s="1"/>
      <c r="AT76" s="1"/>
      <c r="AU76" s="1"/>
      <c r="AV76" s="1"/>
      <c r="AW76" s="1"/>
      <c r="AX76" s="1"/>
      <c r="AY76" s="1"/>
      <c r="AZ76" s="1"/>
      <c r="BA76" s="1"/>
      <c r="BB76" s="1"/>
      <c r="BC76" s="1"/>
      <c r="BD76" s="1"/>
      <c r="BE76" s="1"/>
      <c r="BF76" s="1"/>
      <c r="BG76" s="1"/>
      <c r="BH76" s="1"/>
      <c r="BI76" s="1"/>
      <c r="BJ76" s="1"/>
      <c r="BK76" s="1"/>
      <c r="BL76" s="1"/>
      <c r="BM76" s="1"/>
      <c r="BN76" s="1"/>
      <c r="BO76" s="45"/>
      <c r="BP76" s="45"/>
      <c r="BQ76" s="45"/>
      <c r="BR76" s="45"/>
      <c r="BS76" s="1"/>
      <c r="BT76" s="1"/>
      <c r="BU76" s="1"/>
      <c r="BW76" s="151"/>
    </row>
    <row r="77" spans="1:75" x14ac:dyDescent="0.3">
      <c r="B77" s="712" t="s">
        <v>1145</v>
      </c>
      <c r="C77" s="712"/>
      <c r="D77" s="712"/>
      <c r="E77" s="424"/>
      <c r="F77" s="424"/>
      <c r="G77" s="424"/>
      <c r="H77" s="25"/>
      <c r="I77" s="25"/>
      <c r="J77" s="108"/>
      <c r="R77" s="1"/>
      <c r="S77" s="1"/>
      <c r="T77" s="1"/>
      <c r="U77" s="1"/>
      <c r="V77" s="1"/>
      <c r="W77" s="1"/>
      <c r="X77" s="1"/>
      <c r="Y77" s="1"/>
      <c r="Z77" s="1"/>
      <c r="AA77" s="1"/>
      <c r="AB77" s="1"/>
      <c r="AC77" s="1"/>
      <c r="AD77" s="1"/>
      <c r="AE77" s="1"/>
      <c r="AF77" s="1"/>
      <c r="AG77" s="1"/>
      <c r="AH77" s="1"/>
      <c r="AI77" s="1"/>
      <c r="AJ77" s="1"/>
      <c r="AK77" s="1"/>
      <c r="AL77" s="1"/>
      <c r="AM77" s="1"/>
      <c r="AN77" s="1"/>
      <c r="AO77" s="1"/>
      <c r="AP77" s="50"/>
      <c r="AQ77" s="1"/>
      <c r="AR77" s="1"/>
      <c r="AS77" s="1"/>
      <c r="AT77" s="1"/>
      <c r="AU77" s="1"/>
      <c r="AV77" s="1"/>
      <c r="AW77" s="1"/>
      <c r="AX77" s="1"/>
      <c r="AY77" s="1"/>
      <c r="AZ77" s="1"/>
      <c r="BA77" s="1"/>
      <c r="BB77" s="1"/>
      <c r="BC77" s="1"/>
      <c r="BD77" s="1"/>
      <c r="BE77" s="1"/>
      <c r="BF77" s="1"/>
      <c r="BG77" s="1"/>
      <c r="BH77" s="1"/>
      <c r="BI77" s="1"/>
      <c r="BJ77" s="1"/>
      <c r="BK77" s="1"/>
      <c r="BL77" s="1"/>
      <c r="BM77" s="1"/>
      <c r="BN77" s="1"/>
      <c r="BO77" s="45"/>
      <c r="BP77" s="45"/>
      <c r="BQ77" s="45"/>
      <c r="BR77" s="45"/>
      <c r="BS77" s="1"/>
      <c r="BT77" s="1"/>
      <c r="BU77" s="1"/>
      <c r="BW77" s="151"/>
    </row>
    <row r="78" spans="1:75" x14ac:dyDescent="0.3">
      <c r="B78" s="712" t="s">
        <v>35</v>
      </c>
      <c r="C78" s="712"/>
      <c r="D78" s="712"/>
      <c r="E78" s="712"/>
      <c r="F78" s="712"/>
      <c r="G78" s="424"/>
      <c r="H78" s="25"/>
      <c r="I78" s="25"/>
      <c r="J78" s="108"/>
      <c r="R78" s="1"/>
      <c r="S78" s="1"/>
      <c r="T78" s="1"/>
      <c r="U78" s="1"/>
      <c r="V78" s="1"/>
      <c r="W78" s="1"/>
      <c r="X78" s="1"/>
      <c r="Y78" s="1"/>
      <c r="Z78" s="1"/>
      <c r="AA78" s="1"/>
      <c r="AB78" s="1"/>
      <c r="AC78" s="1"/>
      <c r="AD78" s="1"/>
      <c r="AE78" s="1"/>
      <c r="AF78" s="1"/>
      <c r="AG78" s="1"/>
      <c r="AH78" s="1"/>
      <c r="AI78" s="1"/>
      <c r="AJ78" s="1"/>
      <c r="AK78" s="1"/>
      <c r="AL78" s="1"/>
      <c r="AM78" s="1"/>
      <c r="AN78" s="1"/>
      <c r="AO78" s="1"/>
      <c r="AP78" s="50"/>
      <c r="AQ78" s="1"/>
      <c r="AR78" s="1"/>
      <c r="AS78" s="1"/>
      <c r="AT78" s="1"/>
      <c r="AU78" s="1"/>
      <c r="AV78" s="1"/>
      <c r="AW78" s="1"/>
      <c r="AX78" s="1"/>
      <c r="AY78" s="1"/>
      <c r="AZ78" s="1"/>
      <c r="BA78" s="1"/>
      <c r="BB78" s="1"/>
      <c r="BC78" s="1"/>
      <c r="BD78" s="1"/>
      <c r="BE78" s="1"/>
      <c r="BF78" s="1"/>
      <c r="BG78" s="1"/>
      <c r="BH78" s="1"/>
      <c r="BI78" s="1"/>
      <c r="BJ78" s="1"/>
      <c r="BK78" s="1"/>
      <c r="BL78" s="1"/>
      <c r="BM78" s="1"/>
      <c r="BN78" s="1"/>
      <c r="BO78" s="45"/>
      <c r="BP78" s="45"/>
      <c r="BQ78" s="45"/>
      <c r="BR78" s="45"/>
      <c r="BS78" s="1"/>
      <c r="BT78" s="1"/>
      <c r="BU78" s="1"/>
      <c r="BW78" s="151"/>
    </row>
    <row r="79" spans="1:75" ht="12.75" customHeight="1" x14ac:dyDescent="0.3">
      <c r="B79" s="712" t="s">
        <v>1177</v>
      </c>
      <c r="C79" s="712"/>
      <c r="D79" s="712"/>
      <c r="E79" s="712"/>
      <c r="F79" s="712"/>
      <c r="G79" s="424"/>
      <c r="H79" s="25"/>
      <c r="I79" s="25"/>
      <c r="J79" s="108"/>
      <c r="R79" s="1"/>
      <c r="S79" s="1"/>
      <c r="T79" s="1"/>
      <c r="U79" s="1"/>
      <c r="V79" s="1"/>
      <c r="W79" s="1"/>
      <c r="X79" s="1"/>
      <c r="Y79" s="1"/>
      <c r="Z79" s="1"/>
      <c r="AA79" s="1"/>
      <c r="AB79" s="1"/>
      <c r="AC79" s="1"/>
      <c r="AD79" s="1"/>
      <c r="AE79" s="1"/>
      <c r="AF79" s="1"/>
      <c r="AG79" s="1"/>
      <c r="AH79" s="1"/>
      <c r="AI79" s="1"/>
      <c r="AJ79" s="1"/>
      <c r="AK79" s="1"/>
      <c r="AL79" s="1"/>
      <c r="AM79" s="1"/>
      <c r="AN79" s="1"/>
      <c r="AO79" s="1"/>
      <c r="AP79" s="50"/>
      <c r="AQ79" s="1"/>
      <c r="AR79" s="1"/>
      <c r="AS79" s="1"/>
      <c r="AT79" s="1"/>
      <c r="AU79" s="1"/>
      <c r="AV79" s="1"/>
      <c r="AW79" s="1"/>
      <c r="AX79" s="1"/>
      <c r="AY79" s="1"/>
      <c r="AZ79" s="1"/>
      <c r="BA79" s="1"/>
      <c r="BB79" s="1"/>
      <c r="BC79" s="1"/>
      <c r="BD79" s="1"/>
      <c r="BE79" s="1"/>
      <c r="BF79" s="1"/>
      <c r="BG79" s="1"/>
      <c r="BH79" s="1"/>
      <c r="BI79" s="1"/>
      <c r="BJ79" s="1"/>
      <c r="BK79" s="1"/>
      <c r="BL79" s="1"/>
      <c r="BM79" s="1"/>
      <c r="BN79" s="1"/>
      <c r="BO79" s="45"/>
      <c r="BP79" s="45"/>
      <c r="BQ79" s="45"/>
      <c r="BR79" s="45"/>
      <c r="BS79" s="1"/>
      <c r="BT79" s="1"/>
      <c r="BU79" s="1"/>
      <c r="BW79" s="151"/>
    </row>
    <row r="80" spans="1:75" ht="12.75" customHeight="1" x14ac:dyDescent="0.3">
      <c r="B80" s="714" t="s">
        <v>1146</v>
      </c>
      <c r="C80" s="714"/>
      <c r="D80" s="714"/>
      <c r="E80" s="714"/>
      <c r="F80" s="714"/>
      <c r="G80" s="422"/>
      <c r="R80" s="1"/>
      <c r="S80" s="1"/>
      <c r="T80" s="1"/>
      <c r="U80" s="1"/>
      <c r="V80" s="1"/>
      <c r="W80" s="1"/>
      <c r="X80" s="1"/>
      <c r="Y80" s="1"/>
      <c r="Z80" s="1"/>
      <c r="AA80" s="1"/>
      <c r="AB80" s="1"/>
      <c r="AC80" s="1"/>
      <c r="AD80" s="1"/>
      <c r="AE80" s="1"/>
      <c r="AF80" s="1"/>
      <c r="AG80" s="1"/>
      <c r="AH80" s="1"/>
      <c r="AI80" s="1"/>
      <c r="AJ80" s="1"/>
      <c r="AK80" s="1"/>
      <c r="AL80" s="1"/>
      <c r="AM80" s="1"/>
      <c r="AN80" s="1"/>
      <c r="AO80" s="1"/>
      <c r="AP80" s="50"/>
      <c r="AQ80" s="1"/>
      <c r="AR80" s="1"/>
      <c r="AS80" s="1"/>
      <c r="AT80" s="1"/>
      <c r="AU80" s="1"/>
      <c r="AV80" s="1"/>
      <c r="AW80" s="1"/>
      <c r="AX80" s="1"/>
      <c r="AY80" s="1"/>
      <c r="AZ80" s="1"/>
      <c r="BA80" s="1"/>
      <c r="BB80" s="1"/>
      <c r="BC80" s="1"/>
      <c r="BD80" s="1"/>
      <c r="BE80" s="1"/>
      <c r="BF80" s="1"/>
      <c r="BG80" s="1"/>
      <c r="BH80" s="1"/>
      <c r="BI80" s="1"/>
      <c r="BJ80" s="1"/>
      <c r="BK80" s="1"/>
      <c r="BL80" s="1"/>
      <c r="BM80" s="1"/>
      <c r="BN80" s="1"/>
      <c r="BO80" s="45"/>
      <c r="BP80" s="45"/>
      <c r="BQ80" s="45"/>
      <c r="BR80" s="45"/>
      <c r="BS80" s="1"/>
      <c r="BT80" s="1"/>
      <c r="BU80" s="1"/>
      <c r="BW80" s="151"/>
    </row>
    <row r="81" spans="1:76" ht="14" x14ac:dyDescent="0.25">
      <c r="J81" s="108"/>
      <c r="K81" s="1"/>
      <c r="L81" s="1"/>
      <c r="R81" s="1"/>
      <c r="S81" s="1"/>
      <c r="T81" s="1"/>
      <c r="U81" s="1"/>
      <c r="V81" s="1"/>
      <c r="W81" s="1"/>
      <c r="X81" s="1"/>
      <c r="Y81" s="1"/>
      <c r="Z81" s="1"/>
      <c r="AA81" s="71"/>
      <c r="AB81" s="71"/>
      <c r="AC81" s="71"/>
      <c r="AD81" s="72"/>
      <c r="AE81" s="71"/>
      <c r="AF81" s="71"/>
      <c r="AG81" s="72"/>
      <c r="AH81" s="71"/>
      <c r="AI81" s="71"/>
      <c r="AK81" s="22"/>
      <c r="AL81" s="6"/>
      <c r="AM81" s="22"/>
      <c r="AN81" s="6"/>
      <c r="AP81" s="42"/>
      <c r="AQ81" s="6"/>
      <c r="AR81" s="22"/>
      <c r="BW81" s="151"/>
    </row>
    <row r="82" spans="1:76" ht="12.75" customHeight="1" x14ac:dyDescent="0.25">
      <c r="B82" s="27"/>
      <c r="K82" s="9"/>
      <c r="L82" s="7"/>
      <c r="N82" s="1"/>
      <c r="O82" s="1"/>
      <c r="P82" s="1"/>
      <c r="Q82" s="1"/>
      <c r="R82" s="1"/>
      <c r="S82" s="1"/>
      <c r="T82" s="1"/>
      <c r="U82" s="1"/>
      <c r="V82" s="1"/>
      <c r="W82" s="23"/>
      <c r="X82" s="22"/>
      <c r="Y82" s="39"/>
      <c r="Z82" s="39"/>
      <c r="AA82" s="39"/>
      <c r="AB82" s="72"/>
      <c r="AC82" s="71"/>
      <c r="AD82" s="8"/>
      <c r="AE82" s="5"/>
      <c r="AF82" s="5"/>
      <c r="AG82" s="22"/>
      <c r="AH82" s="6"/>
      <c r="AI82" s="9"/>
      <c r="AJ82" s="3"/>
      <c r="AK82" s="3"/>
      <c r="AL82" s="110"/>
      <c r="AM82" s="6"/>
      <c r="AN82" s="9"/>
      <c r="AO82" s="22"/>
      <c r="AP82" s="9"/>
      <c r="AQ82" s="9"/>
      <c r="AS82" s="9"/>
      <c r="BE82" s="4"/>
      <c r="BF82" s="4"/>
      <c r="BG82" s="4"/>
      <c r="BH82" s="4"/>
      <c r="BI82" s="4"/>
      <c r="BK82" s="43"/>
      <c r="BL82" s="43"/>
      <c r="BM82" s="43"/>
      <c r="BO82" s="9"/>
      <c r="BP82" s="9"/>
      <c r="BQ82" s="58"/>
      <c r="BR82" s="58"/>
      <c r="BS82" s="151"/>
      <c r="BT82" s="1"/>
      <c r="BU82" s="1"/>
      <c r="BV82" s="1"/>
      <c r="BW82" s="1"/>
    </row>
    <row r="83" spans="1:76" ht="15" customHeight="1" x14ac:dyDescent="0.3">
      <c r="A83" s="35"/>
      <c r="C83" s="36"/>
      <c r="D83" s="36"/>
      <c r="E83" s="36"/>
      <c r="F83" s="36"/>
      <c r="G83" s="36"/>
      <c r="J83" s="108"/>
      <c r="K83" s="679" t="s">
        <v>919</v>
      </c>
      <c r="L83" s="680"/>
      <c r="M83" s="681"/>
      <c r="N83" s="685" t="s">
        <v>808</v>
      </c>
      <c r="O83" s="686"/>
      <c r="P83" s="686"/>
      <c r="Q83" s="687"/>
      <c r="R83" s="688" t="s">
        <v>810</v>
      </c>
      <c r="S83" s="689"/>
      <c r="T83" s="689"/>
      <c r="U83" s="690"/>
      <c r="V83" s="417" t="s">
        <v>368</v>
      </c>
      <c r="W83" s="1"/>
      <c r="X83" s="23"/>
      <c r="Y83" s="22"/>
      <c r="Z83" s="39"/>
      <c r="AA83" s="39"/>
      <c r="AB83" s="39"/>
      <c r="AC83" s="72"/>
      <c r="AD83" s="1"/>
      <c r="AE83" s="38"/>
      <c r="AF83" s="38"/>
      <c r="AG83" s="5"/>
      <c r="AH83" s="22"/>
      <c r="AI83" s="6"/>
      <c r="AJ83" s="9"/>
      <c r="AK83" s="3"/>
      <c r="AM83" s="110"/>
      <c r="AN83" s="6"/>
      <c r="AO83" s="9"/>
      <c r="AP83" s="22"/>
      <c r="AQ83" s="9"/>
      <c r="AS83" s="9"/>
      <c r="BJ83" s="4"/>
      <c r="BL83" s="43"/>
      <c r="BM83" s="43"/>
      <c r="BN83" s="43"/>
      <c r="BO83" s="9"/>
      <c r="BP83" s="9"/>
      <c r="BQ83" s="9"/>
      <c r="BR83" s="9"/>
      <c r="BS83" s="58"/>
      <c r="BT83" s="151"/>
      <c r="BU83" s="1"/>
      <c r="BV83" s="1"/>
      <c r="BW83" s="1"/>
    </row>
    <row r="84" spans="1:76" customFormat="1" ht="26" x14ac:dyDescent="0.3">
      <c r="A84" s="35"/>
      <c r="B84" s="159"/>
      <c r="C84" s="159"/>
      <c r="D84" s="159"/>
      <c r="E84" s="159"/>
      <c r="F84" s="159"/>
      <c r="G84" s="159"/>
      <c r="H84" s="4"/>
      <c r="I84" s="4"/>
      <c r="J84" s="9"/>
      <c r="K84" s="682"/>
      <c r="L84" s="683"/>
      <c r="M84" s="684"/>
      <c r="N84" s="426" t="s">
        <v>339</v>
      </c>
      <c r="O84" s="426" t="s">
        <v>809</v>
      </c>
      <c r="P84" s="426" t="s">
        <v>1129</v>
      </c>
      <c r="Q84" s="427" t="s">
        <v>1130</v>
      </c>
      <c r="R84" s="428" t="s">
        <v>339</v>
      </c>
      <c r="S84" s="429" t="s">
        <v>798</v>
      </c>
      <c r="T84" s="429" t="s">
        <v>800</v>
      </c>
      <c r="U84" s="429" t="s">
        <v>797</v>
      </c>
      <c r="V84" s="418"/>
      <c r="W84" s="6"/>
      <c r="X84" s="23"/>
      <c r="Y84" s="9"/>
      <c r="Z84" s="39"/>
      <c r="AA84" s="39"/>
      <c r="AB84" s="39"/>
      <c r="AC84" s="72"/>
      <c r="AD84" s="1"/>
      <c r="AE84" s="38"/>
      <c r="AF84" s="38"/>
      <c r="AG84" s="5"/>
      <c r="AH84" s="22"/>
      <c r="AI84" s="6"/>
      <c r="AJ84" s="9"/>
      <c r="AK84" s="3"/>
      <c r="AM84" s="110"/>
      <c r="AN84" s="6"/>
      <c r="AO84" s="9"/>
      <c r="AP84" s="22"/>
      <c r="AQ84" s="9"/>
      <c r="AR84" s="9"/>
      <c r="AS84" s="9"/>
      <c r="AT84" s="9"/>
      <c r="AU84" s="9"/>
      <c r="AV84" s="9"/>
      <c r="AW84" s="9"/>
      <c r="AX84" s="9"/>
      <c r="AY84" s="9"/>
      <c r="AZ84" s="9"/>
      <c r="BA84" s="9"/>
      <c r="BB84" s="9"/>
      <c r="BC84" s="9"/>
      <c r="BD84" s="9"/>
      <c r="BE84" s="9"/>
      <c r="BF84" s="9"/>
      <c r="BG84" s="9"/>
      <c r="BH84" s="9"/>
      <c r="BI84" s="9"/>
      <c r="BJ84" s="4"/>
      <c r="BK84" s="9"/>
      <c r="BL84" s="43"/>
      <c r="BM84" s="43"/>
      <c r="BN84" s="43"/>
      <c r="BO84" s="9"/>
      <c r="BP84" s="9"/>
      <c r="BQ84" s="9"/>
      <c r="BR84" s="9"/>
      <c r="BS84" s="60"/>
      <c r="BT84" s="152"/>
    </row>
    <row r="85" spans="1:76" ht="14" x14ac:dyDescent="0.25">
      <c r="A85" s="159"/>
      <c r="J85" s="108"/>
      <c r="K85" s="691" t="s">
        <v>811</v>
      </c>
      <c r="L85" s="692"/>
      <c r="M85" s="693"/>
      <c r="N85" s="54">
        <v>6319000</v>
      </c>
      <c r="O85" s="54">
        <v>17604000</v>
      </c>
      <c r="P85" s="54">
        <f>+((N85*0.2)+(O85*0.2))</f>
        <v>4784600</v>
      </c>
      <c r="Q85" s="54">
        <v>25000000</v>
      </c>
      <c r="R85" s="54">
        <f>1895700-R88</f>
        <v>1695700</v>
      </c>
      <c r="S85" s="54">
        <f>8625960-T85</f>
        <v>6625960</v>
      </c>
      <c r="T85" s="54">
        <v>2000000</v>
      </c>
      <c r="U85" s="54">
        <v>1646000</v>
      </c>
      <c r="V85" s="411"/>
      <c r="W85" s="41"/>
      <c r="X85" s="22"/>
      <c r="Z85" s="39"/>
      <c r="AA85" s="39"/>
      <c r="AB85" s="39"/>
      <c r="AC85" s="72"/>
      <c r="AD85" s="1"/>
      <c r="AG85" s="5"/>
      <c r="AH85" s="22"/>
      <c r="AI85" s="6"/>
      <c r="AJ85" s="9"/>
      <c r="AK85" s="3"/>
      <c r="AM85" s="110"/>
      <c r="AN85" s="9"/>
      <c r="AO85" s="22"/>
      <c r="AP85" s="9"/>
      <c r="AQ85" s="9"/>
      <c r="AS85" s="9"/>
      <c r="AY85" s="4"/>
      <c r="AZ85" s="4"/>
      <c r="BA85" s="4"/>
      <c r="BB85" s="4"/>
      <c r="BC85" s="4"/>
      <c r="BD85" s="4"/>
      <c r="BE85" s="4"/>
      <c r="BF85" s="4"/>
      <c r="BG85" s="4"/>
      <c r="BH85" s="4"/>
      <c r="BI85" s="4"/>
      <c r="BL85" s="43"/>
      <c r="BM85" s="43"/>
      <c r="BN85" s="43"/>
      <c r="BO85" s="9"/>
      <c r="BP85" s="9"/>
      <c r="BQ85" s="9"/>
      <c r="BR85" s="9"/>
      <c r="BS85" s="58"/>
      <c r="BT85" s="151"/>
      <c r="BU85" s="1"/>
      <c r="BV85" s="1"/>
      <c r="BW85" s="1"/>
    </row>
    <row r="86" spans="1:76" ht="12.75" customHeight="1" x14ac:dyDescent="0.25">
      <c r="K86" s="694" t="s">
        <v>230</v>
      </c>
      <c r="L86" s="695"/>
      <c r="M86" s="696"/>
      <c r="N86" s="54"/>
      <c r="O86" s="54"/>
      <c r="P86" s="54"/>
      <c r="Q86" s="54"/>
      <c r="R86" s="54"/>
      <c r="S86" s="54">
        <f>70000+175000</f>
        <v>245000</v>
      </c>
      <c r="T86" s="54"/>
      <c r="U86" s="54"/>
      <c r="V86" s="411"/>
      <c r="W86" s="41"/>
      <c r="X86" s="1"/>
      <c r="Z86" s="39"/>
      <c r="AA86" s="39"/>
      <c r="AB86" s="39"/>
      <c r="AC86" s="72"/>
      <c r="AD86" s="1"/>
      <c r="AE86" s="40"/>
      <c r="AF86" s="40"/>
      <c r="AG86" s="5"/>
      <c r="AH86" s="22"/>
      <c r="AI86" s="3"/>
      <c r="AJ86" s="9"/>
      <c r="AK86" s="3"/>
      <c r="AM86" s="110"/>
      <c r="AN86" s="9"/>
      <c r="AO86" s="22"/>
      <c r="AP86" s="9"/>
      <c r="AQ86" s="9"/>
      <c r="AS86" s="9"/>
      <c r="AY86" s="4"/>
      <c r="AZ86" s="4"/>
      <c r="BA86" s="4"/>
      <c r="BB86" s="4"/>
      <c r="BC86" s="4"/>
      <c r="BD86" s="4"/>
      <c r="BE86" s="4"/>
      <c r="BF86" s="4"/>
      <c r="BG86" s="4"/>
      <c r="BH86" s="4"/>
      <c r="BI86" s="4"/>
      <c r="BL86" s="43"/>
      <c r="BM86" s="43"/>
      <c r="BN86" s="43"/>
      <c r="BO86" s="9"/>
      <c r="BP86" s="9"/>
      <c r="BQ86" s="9"/>
      <c r="BR86" s="9"/>
      <c r="BS86" s="58"/>
      <c r="BT86" s="151"/>
      <c r="BU86" s="1"/>
      <c r="BV86" s="1"/>
      <c r="BW86" s="1"/>
    </row>
    <row r="87" spans="1:76" x14ac:dyDescent="0.25">
      <c r="J87" s="108"/>
      <c r="K87" s="697" t="s">
        <v>231</v>
      </c>
      <c r="L87" s="698"/>
      <c r="M87" s="699"/>
      <c r="N87" s="55"/>
      <c r="O87" s="55"/>
      <c r="P87" s="55"/>
      <c r="Q87" s="55"/>
      <c r="R87" s="55"/>
      <c r="S87" s="55">
        <f>75000+75000</f>
        <v>150000</v>
      </c>
      <c r="T87" s="55"/>
      <c r="U87" s="55"/>
      <c r="V87" s="136"/>
      <c r="W87" s="3"/>
      <c r="X87" s="1"/>
      <c r="Z87" s="39"/>
      <c r="AA87" s="39"/>
      <c r="AB87" s="39"/>
      <c r="AC87" s="64"/>
      <c r="AD87" s="48"/>
      <c r="AE87" s="40"/>
      <c r="AF87" s="40"/>
      <c r="AG87" s="6"/>
      <c r="AH87" s="9"/>
      <c r="AI87" s="3"/>
      <c r="AJ87" s="9"/>
      <c r="AK87" s="3"/>
      <c r="AM87" s="110"/>
      <c r="AN87" s="9"/>
      <c r="AO87" s="22"/>
      <c r="AP87" s="9"/>
      <c r="AQ87" s="9"/>
      <c r="AS87" s="9"/>
      <c r="AY87" s="4"/>
      <c r="AZ87" s="4"/>
      <c r="BA87" s="4"/>
      <c r="BB87" s="4"/>
      <c r="BC87" s="4"/>
      <c r="BD87" s="4"/>
      <c r="BE87" s="4"/>
      <c r="BF87" s="4"/>
      <c r="BG87" s="4"/>
      <c r="BH87" s="4"/>
      <c r="BI87" s="4"/>
      <c r="BL87" s="43"/>
      <c r="BM87" s="43"/>
      <c r="BN87" s="43"/>
      <c r="BO87" s="9"/>
      <c r="BP87" s="9"/>
      <c r="BQ87" s="9"/>
      <c r="BR87" s="9"/>
      <c r="BS87" s="58"/>
      <c r="BT87" s="147"/>
      <c r="BU87" s="1"/>
      <c r="BV87" s="1"/>
      <c r="BW87" s="1"/>
    </row>
    <row r="88" spans="1:76" x14ac:dyDescent="0.25">
      <c r="J88" s="108"/>
      <c r="K88" s="697" t="s">
        <v>920</v>
      </c>
      <c r="L88" s="698"/>
      <c r="M88" s="699"/>
      <c r="N88" s="55"/>
      <c r="O88" s="55"/>
      <c r="P88" s="55"/>
      <c r="Q88" s="55"/>
      <c r="R88" s="55">
        <v>200000</v>
      </c>
      <c r="S88" s="55"/>
      <c r="T88" s="55"/>
      <c r="U88" s="55"/>
      <c r="V88" s="136"/>
      <c r="W88" s="3"/>
      <c r="X88" s="1"/>
      <c r="Z88" s="39"/>
      <c r="AA88" s="39"/>
      <c r="AB88" s="39"/>
      <c r="AC88" s="64"/>
      <c r="AD88" s="48"/>
      <c r="AE88" s="40"/>
      <c r="AF88" s="40"/>
      <c r="AG88" s="6"/>
      <c r="AH88" s="9"/>
      <c r="AI88" s="3"/>
      <c r="AJ88" s="9"/>
      <c r="AK88" s="3"/>
      <c r="AM88" s="110"/>
      <c r="AN88" s="9"/>
      <c r="AO88" s="22"/>
      <c r="AP88" s="9"/>
      <c r="AQ88" s="9"/>
      <c r="AS88" s="9"/>
      <c r="AY88" s="4"/>
      <c r="AZ88" s="4"/>
      <c r="BA88" s="4"/>
      <c r="BB88" s="4"/>
      <c r="BC88" s="4"/>
      <c r="BD88" s="4"/>
      <c r="BE88" s="4"/>
      <c r="BF88" s="4"/>
      <c r="BG88" s="4"/>
      <c r="BH88" s="4"/>
      <c r="BI88" s="4"/>
      <c r="BL88" s="43"/>
      <c r="BM88" s="43"/>
      <c r="BN88" s="43"/>
      <c r="BO88" s="9"/>
      <c r="BP88" s="9"/>
      <c r="BQ88" s="9"/>
      <c r="BR88" s="9"/>
      <c r="BS88" s="58"/>
      <c r="BT88" s="147"/>
      <c r="BU88" s="1"/>
      <c r="BV88" s="1"/>
      <c r="BW88" s="1"/>
    </row>
    <row r="89" spans="1:76" ht="28" x14ac:dyDescent="0.25">
      <c r="H89" s="1"/>
      <c r="I89" s="1"/>
      <c r="K89" s="700" t="s">
        <v>1134</v>
      </c>
      <c r="L89" s="701"/>
      <c r="M89" s="702"/>
      <c r="N89" s="412">
        <f t="shared" ref="N89" si="71">+N85+N86+N87</f>
        <v>6319000</v>
      </c>
      <c r="O89" s="412">
        <f t="shared" ref="O89" si="72">+O85+O86+O87</f>
        <v>17604000</v>
      </c>
      <c r="P89" s="412">
        <f t="shared" ref="P89:Q89" si="73">+P85+P86+P87</f>
        <v>4784600</v>
      </c>
      <c r="Q89" s="412">
        <f t="shared" si="73"/>
        <v>25000000</v>
      </c>
      <c r="R89" s="412">
        <f>+R85+R86+R87+R88</f>
        <v>1895700</v>
      </c>
      <c r="S89" s="412">
        <f>+S85-S86-S87</f>
        <v>6230960</v>
      </c>
      <c r="T89" s="412">
        <f>+T85+T86+T87</f>
        <v>2000000</v>
      </c>
      <c r="U89" s="412">
        <f t="shared" ref="U89" si="74">+U85+U86+U87</f>
        <v>1646000</v>
      </c>
      <c r="V89" s="412"/>
      <c r="W89" s="3"/>
      <c r="X89" s="1"/>
      <c r="Z89" s="39"/>
      <c r="AA89" s="39"/>
      <c r="AB89" s="39"/>
      <c r="AC89" s="91"/>
      <c r="AD89" s="94"/>
      <c r="AE89" s="40"/>
      <c r="AF89" s="40"/>
      <c r="AG89" s="6"/>
      <c r="AH89" s="27"/>
      <c r="AI89" s="41"/>
      <c r="AJ89"/>
      <c r="AK89"/>
      <c r="AM89" s="110"/>
      <c r="AN89" s="27"/>
      <c r="AO89" s="26"/>
      <c r="AP89" s="27"/>
      <c r="AQ89" s="27"/>
      <c r="AR89" s="27"/>
      <c r="AS89" s="27"/>
      <c r="AT89" s="27"/>
      <c r="AU89" s="27"/>
      <c r="AV89" s="27"/>
      <c r="AW89" s="27"/>
      <c r="AX89" s="27"/>
      <c r="AY89" s="10"/>
      <c r="AZ89" s="10"/>
      <c r="BA89" s="10"/>
      <c r="BB89" s="10"/>
      <c r="BC89" s="10"/>
      <c r="BD89" s="10"/>
      <c r="BE89" s="10"/>
      <c r="BF89" s="10"/>
      <c r="BG89" s="10"/>
      <c r="BH89" s="10"/>
      <c r="BI89" s="10"/>
      <c r="BJ89" s="27"/>
      <c r="BK89" s="27"/>
      <c r="BL89" s="46"/>
      <c r="BM89" s="46"/>
      <c r="BN89" s="46"/>
      <c r="BO89" s="27"/>
      <c r="BP89" s="27"/>
      <c r="BQ89" s="27"/>
      <c r="BR89" s="27"/>
      <c r="BS89" s="58"/>
      <c r="BT89" s="147"/>
      <c r="BU89" s="1"/>
      <c r="BV89" s="1"/>
      <c r="BW89" s="1"/>
    </row>
    <row r="90" spans="1:76" x14ac:dyDescent="0.25">
      <c r="J90" s="108"/>
      <c r="K90" s="703" t="s">
        <v>1131</v>
      </c>
      <c r="L90" s="704"/>
      <c r="M90" s="705"/>
      <c r="N90" s="6">
        <f>+N85*0.04</f>
        <v>252760</v>
      </c>
      <c r="O90" s="6">
        <f>+O85*0.04</f>
        <v>704160</v>
      </c>
      <c r="P90" s="6">
        <v>0</v>
      </c>
      <c r="Q90" s="6">
        <v>0</v>
      </c>
      <c r="R90" s="6">
        <v>0</v>
      </c>
      <c r="S90" s="6">
        <v>0</v>
      </c>
      <c r="T90" s="6">
        <v>0</v>
      </c>
      <c r="U90" s="6">
        <f>+U85*0.04</f>
        <v>65840</v>
      </c>
      <c r="V90" s="6">
        <f>+U90+O90+N90</f>
        <v>1022760</v>
      </c>
      <c r="W90" s="6"/>
      <c r="X90" s="22"/>
      <c r="Z90" s="9"/>
      <c r="AA90" s="41"/>
      <c r="AB90" s="1"/>
      <c r="AC90" s="9"/>
      <c r="AH90" s="40"/>
      <c r="AI90" s="40"/>
      <c r="AJ90" s="40"/>
      <c r="AK90" s="6"/>
      <c r="AL90" s="22"/>
      <c r="AM90" s="3"/>
      <c r="AN90" s="9"/>
      <c r="AP90" s="3"/>
      <c r="AQ90" s="110"/>
      <c r="BC90" s="4"/>
      <c r="BD90" s="4"/>
      <c r="BE90" s="4"/>
      <c r="BF90" s="4"/>
      <c r="BG90" s="4"/>
      <c r="BH90" s="4"/>
      <c r="BI90" s="4"/>
      <c r="BJ90" s="4"/>
      <c r="BK90" s="4"/>
      <c r="BL90" s="4"/>
      <c r="BO90" s="9"/>
      <c r="BS90" s="43"/>
      <c r="BV90" s="9"/>
      <c r="BW90" s="58"/>
      <c r="BX90" s="147"/>
    </row>
    <row r="91" spans="1:76" x14ac:dyDescent="0.25">
      <c r="J91" s="108"/>
      <c r="K91" s="56"/>
      <c r="L91" s="56"/>
      <c r="M91" s="56" t="s">
        <v>1133</v>
      </c>
      <c r="N91" s="6">
        <v>40000</v>
      </c>
      <c r="O91" s="6">
        <v>0</v>
      </c>
      <c r="P91" s="6">
        <v>0</v>
      </c>
      <c r="Q91" s="6">
        <v>0</v>
      </c>
      <c r="R91" s="6">
        <v>0</v>
      </c>
      <c r="S91" s="6">
        <v>0</v>
      </c>
      <c r="T91" s="6">
        <v>0</v>
      </c>
      <c r="U91" s="6">
        <v>0</v>
      </c>
      <c r="W91" s="6"/>
      <c r="X91" s="22"/>
      <c r="Z91" s="9"/>
      <c r="AA91" s="41"/>
      <c r="AB91" s="1"/>
      <c r="AC91" s="9"/>
      <c r="AH91" s="40"/>
      <c r="AI91" s="40"/>
      <c r="AJ91" s="40"/>
      <c r="AK91" s="6"/>
      <c r="AL91" s="22"/>
      <c r="AM91" s="3"/>
      <c r="AN91" s="9"/>
      <c r="AP91" s="3"/>
      <c r="AQ91" s="110"/>
      <c r="BC91" s="4"/>
      <c r="BD91" s="4"/>
      <c r="BE91" s="4"/>
      <c r="BF91" s="4"/>
      <c r="BG91" s="4"/>
      <c r="BH91" s="4"/>
      <c r="BI91" s="4"/>
      <c r="BJ91" s="4"/>
      <c r="BK91" s="4"/>
      <c r="BL91" s="4"/>
      <c r="BO91" s="9"/>
      <c r="BS91" s="43"/>
      <c r="BV91" s="9"/>
      <c r="BW91" s="58"/>
      <c r="BX91" s="147"/>
    </row>
    <row r="92" spans="1:76" x14ac:dyDescent="0.25">
      <c r="L92" s="706" t="s">
        <v>1132</v>
      </c>
      <c r="M92" s="706"/>
      <c r="N92" s="499">
        <f>+N89-N90-N91</f>
        <v>6026240</v>
      </c>
      <c r="O92" s="499">
        <f>+O89-O90-O91</f>
        <v>16899840</v>
      </c>
      <c r="P92" s="499">
        <f t="shared" ref="P92:Q92" si="75">+P89-P90-P91</f>
        <v>4784600</v>
      </c>
      <c r="Q92" s="499">
        <f t="shared" si="75"/>
        <v>25000000</v>
      </c>
      <c r="R92" s="499">
        <f t="shared" ref="R92" si="76">+R89-R90-R91</f>
        <v>1895700</v>
      </c>
      <c r="S92" s="499">
        <f t="shared" ref="S92" si="77">+S89-S90-S91</f>
        <v>6230960</v>
      </c>
      <c r="T92" s="499">
        <f t="shared" ref="T92" si="78">+T89-T90-T91</f>
        <v>2000000</v>
      </c>
      <c r="U92" s="499">
        <f t="shared" ref="U92" si="79">+U89-U90-U91</f>
        <v>1580160</v>
      </c>
      <c r="V92" s="499"/>
      <c r="W92" s="6"/>
      <c r="X92" s="26"/>
      <c r="Y92" s="27"/>
      <c r="Z92" s="9"/>
      <c r="AA92" s="3"/>
      <c r="AB92" s="1"/>
      <c r="AC92" s="9"/>
      <c r="AH92" s="40"/>
      <c r="AI92" s="40"/>
      <c r="AJ92" s="40"/>
      <c r="AK92" s="5"/>
      <c r="AL92" s="22"/>
      <c r="AM92" s="3"/>
      <c r="AN92" s="9"/>
      <c r="AP92" s="3"/>
      <c r="AQ92" s="110"/>
      <c r="AS92" s="9"/>
      <c r="BC92" s="4"/>
      <c r="BD92" s="4"/>
      <c r="BE92" s="4"/>
      <c r="BF92" s="4"/>
      <c r="BG92" s="4"/>
      <c r="BH92" s="4"/>
      <c r="BI92" s="4"/>
      <c r="BJ92" s="4"/>
      <c r="BK92" s="4"/>
      <c r="BL92" s="4"/>
      <c r="BN92" s="4"/>
      <c r="BO92" s="4"/>
      <c r="BP92" s="47"/>
      <c r="BQ92" s="47"/>
      <c r="BR92" s="47"/>
      <c r="BS92" s="47"/>
      <c r="BT92" s="4"/>
      <c r="BU92" s="4"/>
      <c r="BV92" s="4"/>
      <c r="BW92" s="58"/>
      <c r="BX92" s="147"/>
    </row>
    <row r="93" spans="1:76" x14ac:dyDescent="0.25">
      <c r="J93" s="108"/>
      <c r="N93" s="710">
        <f>+N92+O92+P92+Q92</f>
        <v>52710680</v>
      </c>
      <c r="O93" s="710"/>
      <c r="P93" s="710"/>
      <c r="Q93" s="710"/>
      <c r="R93" s="711">
        <f>+R92+S92+T92+U92</f>
        <v>11706820</v>
      </c>
      <c r="S93" s="711"/>
      <c r="T93" s="711"/>
      <c r="U93" s="711"/>
      <c r="AK93" s="22"/>
      <c r="AP93" s="111"/>
      <c r="AQ93" s="9"/>
      <c r="AS93" s="9"/>
      <c r="BB93" s="4"/>
      <c r="BC93" s="4"/>
      <c r="BD93" s="4"/>
      <c r="BE93" s="4"/>
      <c r="BF93" s="4"/>
      <c r="BG93" s="4"/>
      <c r="BH93" s="4"/>
      <c r="BI93" s="4"/>
      <c r="BJ93" s="4"/>
      <c r="BK93" s="4"/>
      <c r="BL93" s="4"/>
      <c r="BN93" s="4"/>
      <c r="BO93" s="47"/>
      <c r="BP93" s="47"/>
      <c r="BQ93" s="47"/>
      <c r="BR93" s="47"/>
      <c r="BS93" s="4"/>
      <c r="BT93" s="4"/>
      <c r="BU93" s="4"/>
    </row>
    <row r="94" spans="1:76" x14ac:dyDescent="0.25">
      <c r="N94" s="206"/>
      <c r="O94" s="27"/>
      <c r="P94" s="56"/>
      <c r="Q94" s="56"/>
      <c r="U94" s="6">
        <f>+U92/3</f>
        <v>526720</v>
      </c>
      <c r="AA94" s="22"/>
      <c r="AP94" s="110"/>
      <c r="AQ94" s="9"/>
      <c r="AR94" s="22"/>
      <c r="AS94" s="9"/>
      <c r="BB94" s="4"/>
      <c r="BC94" s="4"/>
      <c r="BD94" s="4"/>
      <c r="BE94" s="4"/>
      <c r="BF94" s="4"/>
      <c r="BG94" s="4"/>
      <c r="BH94" s="4"/>
      <c r="BI94" s="4"/>
      <c r="BJ94" s="4"/>
      <c r="BK94" s="4"/>
      <c r="BL94" s="4"/>
      <c r="BM94" s="9"/>
    </row>
    <row r="95" spans="1:76" x14ac:dyDescent="0.25">
      <c r="B95" s="1"/>
      <c r="C95" s="1"/>
      <c r="D95" s="1"/>
      <c r="E95" s="1"/>
      <c r="F95" s="1"/>
      <c r="G95" s="1"/>
      <c r="J95" s="108"/>
      <c r="N95" s="206"/>
      <c r="AQ95" s="9"/>
      <c r="AR95" s="22"/>
      <c r="AS95" s="9"/>
      <c r="BB95" s="4"/>
      <c r="BC95" s="4"/>
      <c r="BD95" s="4"/>
      <c r="BE95" s="4"/>
      <c r="BF95" s="4"/>
      <c r="BG95" s="4"/>
      <c r="BH95" s="4"/>
      <c r="BI95" s="4"/>
      <c r="BJ95" s="4"/>
      <c r="BK95" s="4"/>
      <c r="BL95" s="4"/>
      <c r="BM95" s="9"/>
    </row>
    <row r="96" spans="1:76" x14ac:dyDescent="0.25">
      <c r="K96" s="1"/>
      <c r="L96" s="1"/>
      <c r="M96" s="1"/>
      <c r="AA96" s="22"/>
      <c r="AP96" s="110"/>
      <c r="AQ96" s="9"/>
      <c r="AR96" s="22"/>
      <c r="AS96" s="9"/>
      <c r="BB96" s="4"/>
      <c r="BC96" s="4"/>
      <c r="BD96" s="4"/>
      <c r="BE96" s="4"/>
      <c r="BF96" s="4"/>
      <c r="BG96" s="4"/>
      <c r="BH96" s="4"/>
      <c r="BI96" s="4"/>
      <c r="BJ96" s="4"/>
      <c r="BK96" s="4"/>
      <c r="BL96" s="4"/>
      <c r="BM96" s="9"/>
    </row>
    <row r="98" spans="14:23" x14ac:dyDescent="0.25">
      <c r="O98" s="24"/>
      <c r="P98" s="1"/>
      <c r="Q98" s="1"/>
      <c r="R98" s="1"/>
      <c r="S98" s="1"/>
      <c r="T98" s="1"/>
      <c r="U98" s="1"/>
      <c r="V98" s="1"/>
      <c r="W98" s="1"/>
    </row>
    <row r="99" spans="14:23" x14ac:dyDescent="0.25">
      <c r="N99" s="207"/>
    </row>
  </sheetData>
  <sortState xmlns:xlrd2="http://schemas.microsoft.com/office/spreadsheetml/2017/richdata2" ref="A8:BX23">
    <sortCondition ref="C8:C23"/>
    <sortCondition descending="1" ref="B8:B23"/>
  </sortState>
  <mergeCells count="31">
    <mergeCell ref="B76:H76"/>
    <mergeCell ref="B78:F78"/>
    <mergeCell ref="B80:F80"/>
    <mergeCell ref="B2:BU2"/>
    <mergeCell ref="K6:L6"/>
    <mergeCell ref="AS6:AX6"/>
    <mergeCell ref="BA6:BE6"/>
    <mergeCell ref="AE3:AK3"/>
    <mergeCell ref="B74:C74"/>
    <mergeCell ref="N6:Q6"/>
    <mergeCell ref="R6:V6"/>
    <mergeCell ref="AP6:AR6"/>
    <mergeCell ref="AC6:AK6"/>
    <mergeCell ref="BF6:BI6"/>
    <mergeCell ref="BJ4:BR4"/>
    <mergeCell ref="BV7:BW7"/>
    <mergeCell ref="N93:Q93"/>
    <mergeCell ref="R93:U93"/>
    <mergeCell ref="K89:M89"/>
    <mergeCell ref="B77:D77"/>
    <mergeCell ref="L92:M92"/>
    <mergeCell ref="K90:M90"/>
    <mergeCell ref="R83:U83"/>
    <mergeCell ref="N83:Q83"/>
    <mergeCell ref="K83:M84"/>
    <mergeCell ref="K87:M87"/>
    <mergeCell ref="K88:M88"/>
    <mergeCell ref="B79:F79"/>
    <mergeCell ref="K86:M86"/>
    <mergeCell ref="K85:M85"/>
    <mergeCell ref="B75:D75"/>
  </mergeCells>
  <phoneticPr fontId="37" type="noConversion"/>
  <dataValidations count="1">
    <dataValidation type="list" allowBlank="1" showInputMessage="1" showErrorMessage="1" sqref="E8:E66" xr:uid="{EAD4641B-D8D9-4B25-869C-C61D6FEF4AAE}">
      <formula1>#REF!</formula1>
    </dataValidation>
  </dataValidations>
  <printOptions horizontalCentered="1"/>
  <pageMargins left="0.5" right="0.5" top="0.75" bottom="0.75" header="0.5" footer="0.5"/>
  <pageSetup paperSize="17" scale="28" fitToHeight="0" orientation="landscape" r:id="rId1"/>
  <headerFooter alignWithMargins="0">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56BEF-9926-42A0-91C6-BF2837C3F7F1}">
  <sheetPr>
    <tabColor indexed="13"/>
    <pageSetUpPr fitToPage="1"/>
  </sheetPr>
  <dimension ref="A1:BC24"/>
  <sheetViews>
    <sheetView topLeftCell="B6" zoomScale="120" zoomScaleNormal="120" workbookViewId="0">
      <selection activeCell="B24" sqref="B24"/>
    </sheetView>
  </sheetViews>
  <sheetFormatPr defaultColWidth="9.1796875" defaultRowHeight="13" outlineLevelCol="1" x14ac:dyDescent="0.25"/>
  <cols>
    <col min="1" max="1" width="12" style="1" hidden="1" customWidth="1"/>
    <col min="2" max="2" width="26.54296875" style="2" customWidth="1"/>
    <col min="3" max="3" width="11.26953125" style="9" customWidth="1" outlineLevel="1"/>
    <col min="4" max="4" width="32.26953125" style="28" customWidth="1" outlineLevel="1"/>
    <col min="5" max="5" width="21.26953125" style="4" bestFit="1" customWidth="1"/>
    <col min="6" max="6" width="15.7265625" style="4" customWidth="1"/>
    <col min="7" max="7" width="10.26953125" style="4" customWidth="1"/>
    <col min="8" max="8" width="16.1796875" style="4" customWidth="1"/>
    <col min="9" max="9" width="14.7265625" style="4" customWidth="1"/>
    <col min="10" max="10" width="15.453125" style="4" customWidth="1"/>
    <col min="11" max="11" width="13.81640625" style="4" customWidth="1"/>
    <col min="12" max="12" width="13.453125" style="4" customWidth="1"/>
    <col min="13" max="13" width="14" style="4" customWidth="1"/>
    <col min="14" max="14" width="15.453125" style="4" bestFit="1" customWidth="1"/>
    <col min="15" max="15" width="12.7265625" style="4" bestFit="1" customWidth="1"/>
    <col min="16" max="16" width="11.26953125" style="4" bestFit="1" customWidth="1"/>
    <col min="17" max="17" width="25.1796875" style="4" bestFit="1" customWidth="1"/>
    <col min="18" max="18" width="13.54296875" style="6" customWidth="1"/>
    <col min="19" max="19" width="11.54296875" style="6" customWidth="1"/>
    <col min="20" max="20" width="9.1796875" style="7" customWidth="1"/>
    <col min="21" max="21" width="11" style="39" hidden="1" customWidth="1"/>
    <col min="22" max="22" width="13.1796875" style="7" hidden="1" customWidth="1"/>
    <col min="23" max="23" width="15.1796875" style="7" hidden="1" customWidth="1"/>
    <col min="24" max="25" width="9.1796875" style="7" hidden="1" customWidth="1"/>
    <col min="26" max="26" width="15.26953125" style="7" hidden="1" customWidth="1"/>
    <col min="27" max="27" width="10.26953125" style="7" hidden="1" customWidth="1"/>
    <col min="28" max="28" width="9.1796875" style="7" hidden="1" customWidth="1"/>
    <col min="29" max="29" width="15" style="9" customWidth="1" outlineLevel="1"/>
    <col min="30" max="30" width="15.1796875" style="5" customWidth="1" outlineLevel="1"/>
    <col min="31" max="31" width="16.81640625" style="9" customWidth="1" outlineLevel="1"/>
    <col min="32" max="32" width="13.7265625" style="3" customWidth="1" outlineLevel="1"/>
    <col min="33" max="33" width="15.7265625" style="9" customWidth="1" outlineLevel="1"/>
    <col min="34" max="34" width="9.1796875" style="9"/>
    <col min="35" max="16384" width="9.1796875" style="1"/>
  </cols>
  <sheetData>
    <row r="1" spans="1:55" s="85" customFormat="1" ht="28.4" customHeight="1" x14ac:dyDescent="0.55000000000000004">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86"/>
    </row>
    <row r="2" spans="1:55" ht="30" x14ac:dyDescent="0.25">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95" t="s">
        <v>923</v>
      </c>
      <c r="AE2" s="95" t="s">
        <v>338</v>
      </c>
      <c r="AF2" s="53"/>
      <c r="AG2" s="95" t="s">
        <v>338</v>
      </c>
    </row>
    <row r="3" spans="1:55" ht="24.75" customHeight="1" x14ac:dyDescent="0.25">
      <c r="R3" s="741" t="s">
        <v>242</v>
      </c>
      <c r="S3" s="741"/>
      <c r="AC3" s="462" t="s">
        <v>242</v>
      </c>
      <c r="AD3" s="6"/>
      <c r="AE3" s="92"/>
      <c r="AF3" s="82"/>
      <c r="AG3" s="93"/>
    </row>
    <row r="4" spans="1:55" ht="24.75" customHeight="1" x14ac:dyDescent="0.25">
      <c r="B4" s="742" t="s">
        <v>922</v>
      </c>
      <c r="C4" s="742"/>
      <c r="D4" s="742"/>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row>
    <row r="5" spans="1:55" s="171" customFormat="1" ht="92.25" customHeight="1" x14ac:dyDescent="0.3">
      <c r="A5" s="166" t="s">
        <v>0</v>
      </c>
      <c r="B5" s="166" t="s">
        <v>22</v>
      </c>
      <c r="C5" s="166" t="s">
        <v>2</v>
      </c>
      <c r="D5" s="166" t="s">
        <v>3</v>
      </c>
      <c r="E5" s="166" t="s">
        <v>4</v>
      </c>
      <c r="F5" s="393" t="s">
        <v>1238</v>
      </c>
      <c r="G5" s="394" t="s">
        <v>351</v>
      </c>
      <c r="H5" s="395" t="s">
        <v>352</v>
      </c>
      <c r="I5" s="395" t="s">
        <v>353</v>
      </c>
      <c r="J5" s="395" t="s">
        <v>354</v>
      </c>
      <c r="K5" s="395" t="s">
        <v>355</v>
      </c>
      <c r="L5" s="395" t="s">
        <v>356</v>
      </c>
      <c r="M5" s="393" t="s">
        <v>1228</v>
      </c>
      <c r="N5" s="394" t="s">
        <v>1229</v>
      </c>
      <c r="O5" s="393" t="s">
        <v>364</v>
      </c>
      <c r="P5" s="394" t="s">
        <v>365</v>
      </c>
      <c r="Q5" s="397" t="s">
        <v>366</v>
      </c>
      <c r="R5" s="166" t="s">
        <v>39</v>
      </c>
      <c r="S5" s="166" t="s">
        <v>36</v>
      </c>
      <c r="T5" s="166" t="s">
        <v>23</v>
      </c>
      <c r="U5" s="167" t="s">
        <v>351</v>
      </c>
      <c r="V5" s="168" t="s">
        <v>352</v>
      </c>
      <c r="W5" s="168" t="s">
        <v>354</v>
      </c>
      <c r="X5" s="168" t="s">
        <v>356</v>
      </c>
      <c r="Y5" s="167" t="s">
        <v>358</v>
      </c>
      <c r="Z5" s="166" t="s">
        <v>359</v>
      </c>
      <c r="AA5" s="169" t="s">
        <v>360</v>
      </c>
      <c r="AB5" s="169" t="s">
        <v>361</v>
      </c>
      <c r="AC5" s="166" t="s">
        <v>37</v>
      </c>
      <c r="AD5" s="167" t="s">
        <v>30</v>
      </c>
      <c r="AE5" s="167" t="s">
        <v>32</v>
      </c>
      <c r="AF5" s="167" t="s">
        <v>29</v>
      </c>
      <c r="AG5" s="167" t="s">
        <v>33</v>
      </c>
      <c r="AH5" s="170" t="s">
        <v>348</v>
      </c>
    </row>
    <row r="6" spans="1:55" s="20" customFormat="1" ht="15.5" x14ac:dyDescent="0.25">
      <c r="A6" s="11">
        <v>1</v>
      </c>
      <c r="B6" s="12" t="s">
        <v>1171</v>
      </c>
      <c r="C6" s="30"/>
      <c r="D6" s="12"/>
      <c r="E6" s="12" t="s">
        <v>942</v>
      </c>
      <c r="F6" s="12" t="s">
        <v>1264</v>
      </c>
      <c r="G6" s="12" t="s">
        <v>1225</v>
      </c>
      <c r="H6" s="12"/>
      <c r="I6" s="12"/>
      <c r="J6" s="12"/>
      <c r="K6" s="12"/>
      <c r="L6" s="12"/>
      <c r="M6" s="12"/>
      <c r="N6" s="12"/>
      <c r="O6" s="12"/>
      <c r="P6" s="12"/>
      <c r="Q6" s="12"/>
      <c r="R6" s="96">
        <f>'Calculator Impact  2025'!O25</f>
        <v>985</v>
      </c>
      <c r="S6" s="96">
        <f>'Calculator Impact  2025'!E25</f>
        <v>36250</v>
      </c>
      <c r="T6" s="14">
        <f>'Calculator Impact  2025'!P25</f>
        <v>2.7199999999999998E-2</v>
      </c>
      <c r="U6" s="156"/>
      <c r="V6" s="14"/>
      <c r="W6" s="14"/>
      <c r="X6" s="14"/>
      <c r="Y6" s="14"/>
      <c r="Z6" s="14"/>
      <c r="AA6" s="14"/>
      <c r="AB6" s="14"/>
      <c r="AC6" s="461">
        <f>'Calculator Impact  2025'!Q25</f>
        <v>9.8000000000000007</v>
      </c>
      <c r="AD6" s="32" t="s">
        <v>26</v>
      </c>
      <c r="AE6" s="105">
        <v>50000</v>
      </c>
      <c r="AF6" s="52" t="s">
        <v>27</v>
      </c>
      <c r="AG6" s="106">
        <v>0</v>
      </c>
      <c r="AH6" s="33" t="s">
        <v>26</v>
      </c>
    </row>
    <row r="7" spans="1:55" s="20" customFormat="1" ht="46.5" x14ac:dyDescent="0.25">
      <c r="A7" s="11"/>
      <c r="B7" s="599" t="s">
        <v>1172</v>
      </c>
      <c r="C7" s="600"/>
      <c r="D7" s="599" t="s">
        <v>1265</v>
      </c>
      <c r="E7" s="599" t="s">
        <v>1127</v>
      </c>
      <c r="F7" s="599"/>
      <c r="G7" s="599"/>
      <c r="H7" s="599"/>
      <c r="I7" s="599"/>
      <c r="J7" s="599"/>
      <c r="K7" s="599"/>
      <c r="L7" s="599"/>
      <c r="M7" s="599"/>
      <c r="N7" s="599"/>
      <c r="O7" s="599"/>
      <c r="P7" s="599"/>
      <c r="Q7" s="599"/>
      <c r="R7" s="601">
        <f>'Calculator Impact  2025'!O47</f>
        <v>544</v>
      </c>
      <c r="S7" s="601">
        <f>'Calculator Impact  2025'!E47</f>
        <v>42473</v>
      </c>
      <c r="T7" s="602">
        <f>'Calculator Impact  2025'!P47</f>
        <v>1.2800000000000001E-2</v>
      </c>
      <c r="U7" s="603"/>
      <c r="V7" s="602"/>
      <c r="W7" s="602"/>
      <c r="X7" s="602"/>
      <c r="Y7" s="602"/>
      <c r="Z7" s="602"/>
      <c r="AA7" s="602"/>
      <c r="AB7" s="602"/>
      <c r="AC7" s="604">
        <f>'Calculator Impact  2025'!Q47</f>
        <v>6.77</v>
      </c>
      <c r="AD7" s="605" t="s">
        <v>26</v>
      </c>
      <c r="AE7" s="606">
        <v>50000</v>
      </c>
      <c r="AF7" s="607" t="s">
        <v>27</v>
      </c>
      <c r="AG7" s="608">
        <v>0</v>
      </c>
      <c r="AH7" s="609" t="s">
        <v>27</v>
      </c>
    </row>
    <row r="8" spans="1:55" s="20" customFormat="1" ht="31" x14ac:dyDescent="0.25">
      <c r="A8" s="11">
        <v>6</v>
      </c>
      <c r="B8" s="12" t="s">
        <v>1173</v>
      </c>
      <c r="C8" s="30"/>
      <c r="D8" s="12"/>
      <c r="E8" s="12" t="s">
        <v>978</v>
      </c>
      <c r="F8" s="12" t="s">
        <v>1266</v>
      </c>
      <c r="G8" s="12" t="s">
        <v>1231</v>
      </c>
      <c r="H8" s="12"/>
      <c r="I8" s="12"/>
      <c r="J8" s="12"/>
      <c r="K8" s="12"/>
      <c r="L8" s="12"/>
      <c r="M8" s="12"/>
      <c r="N8" s="12"/>
      <c r="O8" s="12"/>
      <c r="P8" s="12"/>
      <c r="Q8" s="12"/>
      <c r="R8" s="96">
        <f>'Calculator Impact  2025'!O117</f>
        <v>1153</v>
      </c>
      <c r="S8" s="96">
        <f>'Calculator Impact  2025'!E117</f>
        <v>100455</v>
      </c>
      <c r="T8" s="14">
        <f>'Calculator Impact  2025'!P117</f>
        <v>1.15E-2</v>
      </c>
      <c r="U8" s="156"/>
      <c r="V8" s="14"/>
      <c r="W8" s="155"/>
      <c r="X8" s="14"/>
      <c r="Y8" s="14"/>
      <c r="Z8" s="155"/>
      <c r="AA8" s="14"/>
      <c r="AB8" s="14"/>
      <c r="AC8" s="461">
        <f>'Calculator Impact  2025'!Q117</f>
        <v>2.19</v>
      </c>
      <c r="AD8" s="32" t="s">
        <v>27</v>
      </c>
      <c r="AE8" s="105"/>
      <c r="AF8" s="52" t="s">
        <v>26</v>
      </c>
      <c r="AG8" s="106">
        <v>25000</v>
      </c>
      <c r="AH8" s="33" t="s">
        <v>26</v>
      </c>
    </row>
    <row r="9" spans="1:55" s="107" customFormat="1" ht="31" x14ac:dyDescent="0.25">
      <c r="A9" s="11">
        <v>5</v>
      </c>
      <c r="B9" s="416" t="s">
        <v>1174</v>
      </c>
      <c r="C9" s="30"/>
      <c r="D9" s="12"/>
      <c r="E9" s="12" t="s">
        <v>992</v>
      </c>
      <c r="F9" s="12" t="s">
        <v>1267</v>
      </c>
      <c r="G9" s="12" t="s">
        <v>1226</v>
      </c>
      <c r="H9" s="12"/>
      <c r="I9" s="12"/>
      <c r="J9" s="12"/>
      <c r="K9" s="12"/>
      <c r="L9" s="12"/>
      <c r="M9" s="12"/>
      <c r="N9" s="12"/>
      <c r="O9" s="12"/>
      <c r="P9" s="12"/>
      <c r="Q9" s="12"/>
      <c r="R9" s="96">
        <f>'Calculator Impact  2025'!O148</f>
        <v>892</v>
      </c>
      <c r="S9" s="96">
        <f>'Calculator Impact  2025'!E148</f>
        <v>29964</v>
      </c>
      <c r="T9" s="14">
        <f>'Calculator Impact  2025'!P148</f>
        <v>2.98E-2</v>
      </c>
      <c r="U9" s="156"/>
      <c r="V9" s="14"/>
      <c r="W9" s="14"/>
      <c r="X9" s="14"/>
      <c r="Y9" s="14"/>
      <c r="Z9" s="14"/>
      <c r="AA9" s="14"/>
      <c r="AB9" s="14"/>
      <c r="AC9" s="461">
        <f>'Calculator Impact  2025'!Q148</f>
        <v>10.06</v>
      </c>
      <c r="AD9" s="32" t="s">
        <v>26</v>
      </c>
      <c r="AE9" s="105">
        <v>25000</v>
      </c>
      <c r="AF9" s="52" t="s">
        <v>27</v>
      </c>
      <c r="AG9" s="106">
        <v>0</v>
      </c>
      <c r="AH9" s="33" t="s">
        <v>26</v>
      </c>
      <c r="AI9" s="20"/>
    </row>
    <row r="10" spans="1:55" s="20" customFormat="1" ht="31" x14ac:dyDescent="0.25">
      <c r="A10" s="11">
        <v>2</v>
      </c>
      <c r="B10" s="12" t="s">
        <v>1175</v>
      </c>
      <c r="C10" s="30"/>
      <c r="D10" s="12"/>
      <c r="E10" s="12" t="s">
        <v>989</v>
      </c>
      <c r="F10" s="12" t="s">
        <v>1268</v>
      </c>
      <c r="G10" s="12" t="s">
        <v>1231</v>
      </c>
      <c r="H10" s="12"/>
      <c r="I10" s="12"/>
      <c r="J10" s="12"/>
      <c r="K10" s="12"/>
      <c r="L10" s="12"/>
      <c r="M10" s="12"/>
      <c r="N10" s="12"/>
      <c r="O10" s="12"/>
      <c r="P10" s="12"/>
      <c r="Q10" s="12"/>
      <c r="R10" s="96">
        <f>'Calculator Impact  2025'!O149</f>
        <v>958</v>
      </c>
      <c r="S10" s="96">
        <f>'Calculator Impact  2025'!E149</f>
        <v>68083</v>
      </c>
      <c r="T10" s="14">
        <f>'Calculator Impact  2025'!P149</f>
        <v>1.41E-2</v>
      </c>
      <c r="U10" s="156"/>
      <c r="V10" s="14"/>
      <c r="W10" s="155"/>
      <c r="X10" s="14"/>
      <c r="Y10" s="14"/>
      <c r="Z10" s="155"/>
      <c r="AA10" s="154"/>
      <c r="AB10" s="14"/>
      <c r="AC10" s="461">
        <f>'Calculator Impact  2025'!Q149</f>
        <v>5.51</v>
      </c>
      <c r="AD10" s="32" t="s">
        <v>26</v>
      </c>
      <c r="AE10" s="105">
        <v>50000</v>
      </c>
      <c r="AF10" s="52" t="s">
        <v>26</v>
      </c>
      <c r="AG10" s="106">
        <v>25000</v>
      </c>
      <c r="AH10" s="33" t="s">
        <v>26</v>
      </c>
      <c r="AI10" s="107"/>
    </row>
    <row r="11" spans="1:55" s="20" customFormat="1" ht="31" x14ac:dyDescent="0.25">
      <c r="A11" s="112">
        <v>4</v>
      </c>
      <c r="B11" s="12" t="s">
        <v>1176</v>
      </c>
      <c r="C11" s="30"/>
      <c r="D11" s="12" t="s">
        <v>1273</v>
      </c>
      <c r="E11" s="12" t="s">
        <v>978</v>
      </c>
      <c r="F11" s="12" t="s">
        <v>1269</v>
      </c>
      <c r="G11" s="12" t="s">
        <v>1233</v>
      </c>
      <c r="H11" s="12"/>
      <c r="I11" s="12"/>
      <c r="J11" s="12"/>
      <c r="K11" s="12"/>
      <c r="L11" s="12"/>
      <c r="M11" s="12"/>
      <c r="N11" s="12"/>
      <c r="O11" s="12"/>
      <c r="P11" s="12"/>
      <c r="Q11" s="12"/>
      <c r="R11" s="96">
        <f>'Calculator Impact  2025'!O165</f>
        <v>426</v>
      </c>
      <c r="S11" s="96">
        <f>'Calculator Impact  2025'!E165</f>
        <v>81198</v>
      </c>
      <c r="T11" s="14">
        <f>'Calculator Impact  2025'!P165</f>
        <v>5.1999999999999998E-3</v>
      </c>
      <c r="U11" s="156"/>
      <c r="V11" s="113"/>
      <c r="W11" s="154"/>
      <c r="X11" s="113"/>
      <c r="Y11" s="113"/>
      <c r="Z11" s="154"/>
      <c r="AA11" s="113"/>
      <c r="AB11" s="113"/>
      <c r="AC11" s="461">
        <f>'Calculator Impact  2025'!Q165</f>
        <v>2.98</v>
      </c>
      <c r="AD11" s="32" t="s">
        <v>27</v>
      </c>
      <c r="AE11" s="105">
        <v>0</v>
      </c>
      <c r="AF11" s="52" t="s">
        <v>26</v>
      </c>
      <c r="AG11" s="106">
        <v>20000</v>
      </c>
      <c r="AH11" s="33" t="s">
        <v>26</v>
      </c>
      <c r="AI11" s="107"/>
    </row>
    <row r="12" spans="1:55" s="70" customFormat="1" ht="25" customHeight="1" x14ac:dyDescent="0.25">
      <c r="A12" s="75"/>
      <c r="B12" s="77"/>
      <c r="C12" s="78"/>
      <c r="D12" s="74"/>
      <c r="E12" s="89"/>
      <c r="F12" s="89"/>
      <c r="G12" s="89"/>
      <c r="H12" s="89"/>
      <c r="I12" s="89"/>
      <c r="J12" s="89"/>
      <c r="K12" s="89"/>
      <c r="L12" s="89"/>
      <c r="M12" s="89"/>
      <c r="N12" s="89"/>
      <c r="O12" s="89"/>
      <c r="P12" s="89"/>
      <c r="Q12" s="89"/>
      <c r="R12" s="79"/>
      <c r="S12" s="79"/>
      <c r="T12" s="80"/>
      <c r="U12" s="157"/>
      <c r="V12" s="80"/>
      <c r="W12" s="80"/>
      <c r="X12" s="80"/>
      <c r="Y12" s="80"/>
      <c r="Z12" s="80"/>
      <c r="AA12" s="80"/>
      <c r="AB12" s="80"/>
      <c r="AC12" s="79"/>
      <c r="AD12" s="81"/>
      <c r="AE12" s="79">
        <f>SUM(AE6:AE11)</f>
        <v>175000</v>
      </c>
      <c r="AF12" s="79"/>
      <c r="AG12" s="79">
        <f t="shared" ref="AG12" si="0">SUM(AG6:AG11)</f>
        <v>70000</v>
      </c>
      <c r="AH12" s="69"/>
    </row>
    <row r="13" spans="1:55" s="70" customFormat="1" ht="25" customHeight="1" x14ac:dyDescent="0.25">
      <c r="A13" s="75"/>
      <c r="C13" s="69"/>
      <c r="D13" s="65"/>
      <c r="E13" s="90"/>
      <c r="F13" s="90"/>
      <c r="G13" s="90"/>
      <c r="H13" s="90"/>
      <c r="I13" s="90"/>
      <c r="J13" s="90"/>
      <c r="K13" s="90"/>
      <c r="L13" s="90"/>
      <c r="M13" s="90"/>
      <c r="N13" s="90"/>
      <c r="O13" s="90"/>
      <c r="P13" s="90"/>
      <c r="Q13" s="90"/>
      <c r="R13" s="71"/>
      <c r="S13" s="71"/>
      <c r="T13" s="72"/>
      <c r="U13" s="158"/>
      <c r="V13" s="72"/>
      <c r="W13" s="72"/>
      <c r="X13" s="72"/>
      <c r="Y13" s="72"/>
      <c r="Z13" s="72"/>
      <c r="AA13" s="72"/>
      <c r="AB13" s="72"/>
      <c r="AC13" s="71"/>
      <c r="AD13" s="66"/>
      <c r="AE13" s="71"/>
      <c r="AF13" s="66"/>
      <c r="AG13" s="71"/>
      <c r="AH13" s="69"/>
    </row>
    <row r="14" spans="1:55" s="70" customFormat="1" ht="15.5" x14ac:dyDescent="0.35">
      <c r="A14" s="75"/>
      <c r="B14" s="585" t="s">
        <v>24</v>
      </c>
      <c r="C14" s="585"/>
      <c r="D14" s="585"/>
      <c r="E14" s="585"/>
      <c r="F14" s="585"/>
      <c r="G14" s="585"/>
      <c r="H14" s="585"/>
      <c r="I14" s="585"/>
      <c r="J14" s="585"/>
      <c r="K14" s="585"/>
      <c r="L14" s="585"/>
      <c r="M14" s="585"/>
      <c r="N14" s="585"/>
      <c r="O14" s="585"/>
      <c r="P14" s="585"/>
      <c r="Q14" s="585"/>
      <c r="R14" s="585"/>
      <c r="S14" s="586"/>
      <c r="T14" s="63"/>
      <c r="U14" s="587"/>
      <c r="V14" s="63"/>
      <c r="W14" s="587"/>
      <c r="X14" s="587"/>
      <c r="Y14" s="587"/>
      <c r="Z14" s="587"/>
      <c r="AA14" s="587"/>
      <c r="AB14" s="587"/>
      <c r="AC14" s="587"/>
      <c r="AD14" s="587"/>
      <c r="AE14" s="587"/>
      <c r="AF14" s="587"/>
      <c r="AG14" s="587"/>
      <c r="AH14" s="587"/>
      <c r="AI14" s="587"/>
      <c r="AJ14" s="63"/>
      <c r="AK14" s="63"/>
      <c r="AL14" s="63"/>
      <c r="AM14" s="63"/>
      <c r="AN14" s="63"/>
      <c r="AO14" s="63"/>
      <c r="AP14" s="63"/>
      <c r="AQ14" s="63"/>
      <c r="AR14" s="63"/>
      <c r="AS14" s="63"/>
      <c r="AT14" s="63"/>
      <c r="AU14" s="6"/>
      <c r="AV14" s="6"/>
      <c r="AW14" s="7"/>
      <c r="AX14" s="205"/>
      <c r="AY14" s="72"/>
      <c r="AZ14" s="72"/>
      <c r="BA14" s="72"/>
      <c r="BB14" s="71"/>
      <c r="BC14" s="71"/>
    </row>
    <row r="15" spans="1:55" s="70" customFormat="1" ht="15.5" x14ac:dyDescent="0.35">
      <c r="A15" s="75"/>
      <c r="B15" s="585" t="s">
        <v>34</v>
      </c>
      <c r="C15" s="585"/>
      <c r="D15" s="585"/>
      <c r="E15" s="585"/>
      <c r="F15" s="585"/>
      <c r="G15" s="585"/>
      <c r="H15" s="585"/>
      <c r="I15" s="585"/>
      <c r="J15" s="585"/>
      <c r="K15" s="585"/>
      <c r="L15" s="585"/>
      <c r="M15" s="585"/>
      <c r="N15" s="585"/>
      <c r="O15" s="585"/>
      <c r="P15" s="585"/>
      <c r="Q15" s="585"/>
      <c r="R15" s="585"/>
      <c r="S15" s="585"/>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588"/>
      <c r="AV15" s="588"/>
      <c r="AW15" s="589"/>
      <c r="AX15" s="590"/>
      <c r="AY15" s="7"/>
      <c r="AZ15" s="7"/>
      <c r="BA15" s="7"/>
      <c r="BB15" s="8"/>
      <c r="BC15" s="8"/>
    </row>
    <row r="16" spans="1:55" s="70" customFormat="1" ht="15.5" x14ac:dyDescent="0.35">
      <c r="A16" s="75"/>
      <c r="B16" s="585" t="s">
        <v>1145</v>
      </c>
      <c r="C16" s="585"/>
      <c r="D16" s="585"/>
      <c r="E16" s="585"/>
      <c r="F16" s="585"/>
      <c r="G16" s="585"/>
      <c r="H16" s="585"/>
      <c r="I16" s="585"/>
      <c r="J16" s="585"/>
      <c r="K16" s="585"/>
      <c r="L16" s="585"/>
      <c r="M16" s="585"/>
      <c r="N16" s="585"/>
      <c r="O16" s="585"/>
      <c r="P16" s="585"/>
      <c r="Q16" s="585"/>
      <c r="R16" s="585"/>
      <c r="S16" s="586"/>
      <c r="T16" s="63"/>
      <c r="U16" s="587"/>
      <c r="V16" s="63"/>
      <c r="W16" s="587"/>
      <c r="X16" s="587"/>
      <c r="Y16" s="587"/>
      <c r="Z16" s="587"/>
      <c r="AA16" s="587"/>
      <c r="AB16" s="587"/>
      <c r="AC16" s="587"/>
      <c r="AD16" s="587"/>
      <c r="AE16" s="587"/>
      <c r="AF16" s="587"/>
      <c r="AG16" s="587"/>
      <c r="AH16" s="587"/>
      <c r="AI16" s="587"/>
      <c r="AJ16" s="63"/>
      <c r="AK16" s="63"/>
      <c r="AL16" s="63"/>
      <c r="AM16" s="63"/>
      <c r="AN16" s="63"/>
      <c r="AO16" s="63"/>
      <c r="AP16" s="63"/>
      <c r="AQ16" s="63"/>
      <c r="AR16" s="63"/>
      <c r="AS16" s="63"/>
      <c r="AT16" s="63"/>
      <c r="AU16" s="6"/>
      <c r="AV16" s="6"/>
      <c r="AW16" s="7"/>
      <c r="AX16" s="205"/>
      <c r="AY16" s="7"/>
      <c r="AZ16" s="7"/>
      <c r="BA16" s="7"/>
      <c r="BB16" s="8"/>
      <c r="BC16" s="8"/>
    </row>
    <row r="17" spans="1:55" s="70" customFormat="1" ht="15.5" x14ac:dyDescent="0.35">
      <c r="A17" s="75"/>
      <c r="B17" s="585" t="s">
        <v>35</v>
      </c>
      <c r="C17" s="585"/>
      <c r="D17" s="585"/>
      <c r="E17" s="585"/>
      <c r="F17" s="585"/>
      <c r="G17" s="585"/>
      <c r="H17" s="585"/>
      <c r="I17" s="585"/>
      <c r="J17" s="585"/>
      <c r="K17" s="585"/>
      <c r="L17" s="585"/>
      <c r="M17" s="585"/>
      <c r="N17" s="585"/>
      <c r="O17" s="585"/>
      <c r="P17" s="585"/>
      <c r="Q17" s="585"/>
      <c r="R17" s="585"/>
      <c r="S17" s="586"/>
      <c r="T17" s="63"/>
      <c r="U17" s="587"/>
      <c r="V17" s="63"/>
      <c r="W17" s="587"/>
      <c r="X17" s="587"/>
      <c r="Y17" s="587"/>
      <c r="Z17" s="587"/>
      <c r="AA17" s="587"/>
      <c r="AB17" s="587"/>
      <c r="AC17" s="587"/>
      <c r="AD17" s="587"/>
      <c r="AE17" s="587"/>
      <c r="AF17" s="587"/>
      <c r="AG17" s="587"/>
      <c r="AH17" s="587"/>
      <c r="AI17" s="587"/>
      <c r="AJ17" s="63"/>
      <c r="AK17" s="63"/>
      <c r="AL17" s="63"/>
      <c r="AM17" s="63"/>
      <c r="AN17" s="63"/>
      <c r="AO17" s="63"/>
      <c r="AP17" s="63"/>
      <c r="AQ17" s="63"/>
      <c r="AR17" s="63"/>
      <c r="AS17" s="63"/>
      <c r="AT17" s="63"/>
      <c r="AU17" s="6"/>
      <c r="AV17" s="6"/>
      <c r="AW17" s="7"/>
      <c r="AX17" s="205"/>
      <c r="AY17" s="7"/>
      <c r="AZ17" s="7"/>
      <c r="BA17" s="7"/>
      <c r="BB17" s="8"/>
      <c r="BC17" s="8"/>
    </row>
    <row r="18" spans="1:55" s="20" customFormat="1" ht="15.5" x14ac:dyDescent="0.35">
      <c r="A18" s="62"/>
      <c r="B18" s="591" t="s">
        <v>801</v>
      </c>
      <c r="C18" s="591"/>
      <c r="D18" s="591"/>
      <c r="E18" s="585"/>
      <c r="F18" s="585"/>
      <c r="G18" s="585"/>
      <c r="H18" s="585"/>
      <c r="I18" s="585"/>
      <c r="J18" s="585"/>
      <c r="K18" s="585"/>
      <c r="L18" s="585"/>
      <c r="M18" s="585"/>
      <c r="N18" s="585"/>
      <c r="O18" s="585"/>
      <c r="P18" s="585"/>
      <c r="Q18" s="585"/>
      <c r="R18" s="585"/>
      <c r="S18" s="586"/>
      <c r="T18" s="63"/>
      <c r="U18" s="587"/>
      <c r="V18" s="63"/>
      <c r="W18" s="587"/>
      <c r="X18" s="587"/>
      <c r="Y18" s="587"/>
      <c r="Z18" s="587"/>
      <c r="AA18" s="587"/>
      <c r="AB18" s="587"/>
      <c r="AC18" s="587"/>
      <c r="AD18" s="587"/>
      <c r="AE18" s="587"/>
      <c r="AF18" s="587"/>
      <c r="AG18" s="587"/>
      <c r="AH18" s="587"/>
      <c r="AI18" s="587"/>
      <c r="AJ18" s="63"/>
      <c r="AK18" s="63"/>
      <c r="AL18" s="63"/>
      <c r="AM18" s="63"/>
      <c r="AN18" s="63"/>
      <c r="AO18" s="63"/>
      <c r="AP18" s="63"/>
      <c r="AQ18" s="63"/>
      <c r="AR18" s="63"/>
      <c r="AS18" s="63"/>
      <c r="AT18" s="63"/>
      <c r="AU18" s="6"/>
      <c r="AV18" s="6"/>
      <c r="AW18" s="7"/>
      <c r="AX18" s="205"/>
      <c r="AY18" s="7"/>
      <c r="AZ18" s="7"/>
      <c r="BA18" s="7"/>
      <c r="BB18" s="8"/>
      <c r="BC18" s="8"/>
    </row>
    <row r="19" spans="1:55" s="84" customFormat="1" ht="28" x14ac:dyDescent="0.6">
      <c r="B19" s="743" t="s">
        <v>1146</v>
      </c>
      <c r="C19" s="743"/>
      <c r="D19" s="743"/>
      <c r="E19" s="592"/>
      <c r="F19" s="592"/>
      <c r="G19" s="592"/>
      <c r="H19" s="592"/>
      <c r="I19" s="592"/>
      <c r="J19" s="592"/>
      <c r="K19" s="592"/>
      <c r="L19" s="592"/>
      <c r="M19" s="592"/>
      <c r="N19" s="592"/>
      <c r="O19" s="592"/>
      <c r="P19" s="592"/>
      <c r="Q19" s="592"/>
      <c r="R19" s="592"/>
      <c r="S19" s="586"/>
      <c r="T19" s="9"/>
      <c r="U19" s="4"/>
      <c r="V19" s="9"/>
      <c r="W19" s="4"/>
      <c r="X19" s="4"/>
      <c r="Y19" s="4"/>
      <c r="Z19" s="4"/>
      <c r="AA19" s="4"/>
      <c r="AB19" s="4"/>
      <c r="AC19" s="4"/>
      <c r="AD19" s="4"/>
      <c r="AE19" s="4"/>
      <c r="AF19" s="4"/>
      <c r="AG19" s="4"/>
      <c r="AH19" s="4"/>
      <c r="AI19" s="4"/>
      <c r="AJ19" s="9"/>
      <c r="AK19" s="9"/>
      <c r="AL19" s="9"/>
      <c r="AM19" s="9"/>
      <c r="AN19" s="9"/>
      <c r="AO19" s="9"/>
      <c r="AP19" s="9"/>
      <c r="AQ19" s="9"/>
      <c r="AR19" s="9"/>
      <c r="AS19" s="9"/>
      <c r="AT19" s="9"/>
      <c r="AU19" s="6"/>
      <c r="AV19" s="6"/>
      <c r="AW19" s="7"/>
      <c r="AX19" s="205"/>
      <c r="AY19" s="7"/>
      <c r="AZ19" s="7"/>
      <c r="BA19" s="7"/>
      <c r="BB19" s="1"/>
      <c r="BC19" s="1"/>
    </row>
    <row r="20" spans="1:55" ht="12.5" x14ac:dyDescent="0.25">
      <c r="B20" s="9"/>
      <c r="C20" s="2"/>
      <c r="D20" s="2"/>
      <c r="E20" s="2"/>
      <c r="F20" s="2"/>
      <c r="G20" s="2"/>
      <c r="H20" s="2"/>
      <c r="I20" s="2"/>
      <c r="J20" s="2"/>
      <c r="K20" s="2"/>
      <c r="L20" s="2"/>
      <c r="M20" s="2"/>
      <c r="N20" s="2"/>
      <c r="O20" s="2"/>
      <c r="P20" s="2"/>
      <c r="Q20" s="2"/>
      <c r="R20" s="4"/>
      <c r="S20" s="9"/>
      <c r="T20" s="4"/>
      <c r="U20" s="9"/>
      <c r="V20" s="4"/>
      <c r="W20" s="4"/>
      <c r="X20" s="4"/>
      <c r="Y20" s="4"/>
      <c r="Z20" s="4"/>
      <c r="AA20" s="4"/>
      <c r="AB20" s="4"/>
      <c r="AC20" s="4"/>
      <c r="AD20" s="4"/>
      <c r="AE20" s="4"/>
      <c r="AF20" s="4"/>
      <c r="AG20" s="4"/>
      <c r="AH20" s="4"/>
      <c r="AI20" s="9"/>
      <c r="AJ20" s="9"/>
      <c r="AK20" s="9"/>
      <c r="AL20" s="9"/>
      <c r="AM20" s="9"/>
      <c r="AN20" s="9"/>
      <c r="AO20" s="9"/>
      <c r="AP20" s="9"/>
      <c r="AQ20" s="9"/>
      <c r="AR20" s="9"/>
      <c r="AS20" s="9"/>
      <c r="AT20" s="6"/>
      <c r="AU20" s="6"/>
      <c r="AV20" s="7"/>
      <c r="AW20" s="205"/>
      <c r="AX20" s="9"/>
      <c r="AY20" s="7"/>
      <c r="AZ20" s="7"/>
      <c r="BA20" s="7"/>
      <c r="BB20" s="8"/>
      <c r="BC20" s="6"/>
    </row>
    <row r="21" spans="1:55" ht="12.5" x14ac:dyDescent="0.25">
      <c r="B21" s="9"/>
      <c r="C21" s="2"/>
      <c r="D21" s="2"/>
      <c r="E21" s="2"/>
      <c r="F21" s="2"/>
      <c r="G21" s="2"/>
      <c r="H21" s="2"/>
      <c r="I21" s="2"/>
      <c r="J21" s="2"/>
      <c r="K21" s="2"/>
      <c r="L21" s="2"/>
      <c r="M21" s="2"/>
      <c r="N21" s="2"/>
      <c r="O21" s="2"/>
      <c r="P21" s="2"/>
      <c r="Q21" s="2"/>
      <c r="R21" s="4"/>
      <c r="S21" s="9"/>
      <c r="T21" s="4"/>
      <c r="U21" s="9"/>
      <c r="V21" s="4"/>
      <c r="W21" s="4"/>
      <c r="X21" s="4"/>
      <c r="Y21" s="4"/>
      <c r="Z21" s="4"/>
      <c r="AA21" s="4"/>
      <c r="AB21" s="4"/>
      <c r="AC21" s="4"/>
      <c r="AD21" s="4"/>
      <c r="AE21" s="4"/>
      <c r="AF21" s="4"/>
      <c r="AG21" s="4"/>
      <c r="AH21" s="4"/>
      <c r="AI21" s="9"/>
      <c r="AJ21" s="9"/>
      <c r="AK21" s="9"/>
      <c r="AL21" s="9"/>
      <c r="AM21" s="9"/>
      <c r="AN21" s="9"/>
      <c r="AO21" s="9"/>
      <c r="AP21" s="9"/>
      <c r="AQ21" s="9"/>
      <c r="AR21" s="9"/>
      <c r="AS21" s="9"/>
      <c r="AT21" s="6"/>
      <c r="AU21" s="6"/>
      <c r="AV21" s="7"/>
      <c r="AW21" s="205"/>
      <c r="AX21" s="9"/>
      <c r="AY21" s="7"/>
      <c r="AZ21" s="7"/>
      <c r="BA21" s="7"/>
      <c r="BB21" s="8"/>
      <c r="BC21" s="6"/>
    </row>
    <row r="22" spans="1:55" ht="12.5" x14ac:dyDescent="0.25">
      <c r="B22" s="9"/>
      <c r="C22" s="2"/>
      <c r="D22" s="2"/>
      <c r="E22" s="2"/>
      <c r="F22" s="2"/>
      <c r="G22" s="2"/>
      <c r="H22" s="2"/>
      <c r="I22" s="2"/>
      <c r="J22" s="2"/>
      <c r="K22" s="2"/>
      <c r="L22" s="2"/>
      <c r="M22" s="2"/>
      <c r="N22" s="2"/>
      <c r="O22" s="2"/>
      <c r="P22" s="2"/>
      <c r="Q22" s="2"/>
      <c r="R22" s="4"/>
      <c r="S22" s="9"/>
      <c r="T22" s="4"/>
      <c r="U22" s="9"/>
      <c r="V22" s="4"/>
      <c r="W22" s="4"/>
      <c r="X22" s="4"/>
      <c r="Y22" s="4"/>
      <c r="Z22" s="4"/>
      <c r="AA22" s="4"/>
      <c r="AB22" s="4"/>
      <c r="AC22" s="4"/>
      <c r="AD22" s="4"/>
      <c r="AE22" s="4"/>
      <c r="AF22" s="4"/>
      <c r="AG22" s="4"/>
      <c r="AH22" s="4"/>
      <c r="AI22" s="9"/>
      <c r="AJ22" s="9"/>
      <c r="AK22" s="9"/>
      <c r="AL22" s="9"/>
      <c r="AM22" s="9"/>
      <c r="AN22" s="9"/>
      <c r="AO22" s="9"/>
      <c r="AP22" s="9"/>
      <c r="AQ22" s="9"/>
      <c r="AR22" s="9"/>
      <c r="AS22" s="9"/>
      <c r="AT22" s="6"/>
      <c r="AU22" s="6"/>
      <c r="AV22" s="7"/>
      <c r="AW22" s="205"/>
      <c r="AX22" s="9"/>
      <c r="AY22" s="7"/>
      <c r="AZ22" s="7"/>
      <c r="BA22" s="7"/>
      <c r="BB22" s="8"/>
      <c r="BC22" s="6"/>
    </row>
    <row r="23" spans="1:55" s="58" customFormat="1" ht="12.5" x14ac:dyDescent="0.25">
      <c r="A23" s="1"/>
      <c r="B23" s="9"/>
      <c r="C23" s="2"/>
      <c r="D23" s="2"/>
      <c r="E23" s="2"/>
      <c r="F23" s="2"/>
      <c r="G23" s="2"/>
      <c r="H23" s="2"/>
      <c r="I23" s="2"/>
      <c r="J23" s="2"/>
      <c r="K23" s="2"/>
      <c r="L23" s="2"/>
      <c r="M23" s="2"/>
      <c r="N23" s="2"/>
      <c r="O23" s="2"/>
      <c r="P23" s="2"/>
      <c r="Q23" s="2"/>
      <c r="R23" s="4"/>
      <c r="S23" s="9"/>
      <c r="T23" s="4"/>
      <c r="U23" s="9"/>
      <c r="V23" s="4"/>
      <c r="W23" s="4"/>
      <c r="X23" s="4"/>
      <c r="Y23" s="4"/>
      <c r="Z23" s="4"/>
      <c r="AA23" s="4"/>
      <c r="AB23" s="4"/>
      <c r="AC23" s="4"/>
      <c r="AD23" s="4"/>
      <c r="AE23" s="4"/>
      <c r="AF23" s="4"/>
      <c r="AG23" s="4"/>
      <c r="AH23" s="4"/>
      <c r="AI23" s="9"/>
      <c r="AJ23" s="9"/>
      <c r="AK23" s="9"/>
      <c r="AL23" s="9"/>
      <c r="AM23" s="9"/>
      <c r="AN23" s="9"/>
      <c r="AO23" s="9"/>
      <c r="AP23" s="9"/>
      <c r="AQ23" s="9"/>
      <c r="AR23" s="9"/>
      <c r="AS23" s="9"/>
      <c r="AT23" s="6"/>
      <c r="AU23" s="6"/>
      <c r="AV23" s="7"/>
      <c r="AW23" s="205"/>
      <c r="AX23" s="9"/>
      <c r="AY23" s="7"/>
      <c r="AZ23" s="7"/>
      <c r="BA23" s="7"/>
      <c r="BB23" s="8"/>
      <c r="BC23" s="6"/>
    </row>
    <row r="24" spans="1:55" s="58" customFormat="1" ht="12.5" x14ac:dyDescent="0.25">
      <c r="A24" s="1"/>
      <c r="B24" s="1"/>
      <c r="C24" s="1"/>
      <c r="D24" s="1"/>
      <c r="E24" s="1"/>
      <c r="F24" s="1"/>
      <c r="G24" s="1"/>
      <c r="H24" s="1"/>
      <c r="I24" s="1"/>
      <c r="J24" s="1"/>
      <c r="K24" s="1"/>
      <c r="L24" s="1"/>
      <c r="M24" s="1"/>
      <c r="N24" s="1"/>
      <c r="O24" s="1"/>
      <c r="P24" s="1"/>
      <c r="Q24" s="1"/>
      <c r="R24" s="1"/>
      <c r="S24" s="1"/>
      <c r="T24" s="1"/>
      <c r="U24" s="9"/>
      <c r="V24" s="1"/>
      <c r="W24" s="1"/>
      <c r="X24" s="1"/>
      <c r="Y24" s="1"/>
      <c r="Z24" s="1"/>
      <c r="AA24" s="1"/>
      <c r="AB24" s="1"/>
      <c r="AC24" s="22"/>
      <c r="AD24" s="5"/>
      <c r="AE24" s="9"/>
      <c r="AF24" s="3"/>
      <c r="AG24" s="9"/>
      <c r="AH24" s="109"/>
    </row>
  </sheetData>
  <sortState xmlns:xlrd2="http://schemas.microsoft.com/office/spreadsheetml/2017/richdata2" ref="A6:AI11">
    <sortCondition ref="AC6:AC11"/>
  </sortState>
  <mergeCells count="4">
    <mergeCell ref="B1:AG1"/>
    <mergeCell ref="R3:S3"/>
    <mergeCell ref="B4:AG4"/>
    <mergeCell ref="B19:D19"/>
  </mergeCells>
  <printOptions horizontalCentered="1"/>
  <pageMargins left="0.5" right="0.5" top="0.75" bottom="0.75" header="0.5" footer="0.5"/>
  <pageSetup scale="50" fitToHeight="0" orientation="portrait"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C8201-9470-4D49-A55C-7E3DE0F31F2F}">
  <sheetPr>
    <tabColor indexed="13"/>
    <pageSetUpPr fitToPage="1"/>
  </sheetPr>
  <dimension ref="A1:CS21"/>
  <sheetViews>
    <sheetView topLeftCell="B3" zoomScale="85" zoomScaleNormal="85" workbookViewId="0">
      <selection activeCell="C33" sqref="C33"/>
    </sheetView>
  </sheetViews>
  <sheetFormatPr defaultColWidth="9.1796875" defaultRowHeight="13" outlineLevelCol="1" x14ac:dyDescent="0.25"/>
  <cols>
    <col min="1" max="1" width="7.54296875" style="1" hidden="1" customWidth="1"/>
    <col min="2" max="2" width="13.26953125" style="9" customWidth="1"/>
    <col min="3" max="3" width="39" style="2" customWidth="1"/>
    <col min="4" max="4" width="50.453125" style="2" hidden="1" customWidth="1"/>
    <col min="5" max="5" width="18.81640625" style="2" hidden="1" customWidth="1"/>
    <col min="6" max="6" width="18.81640625" style="2" customWidth="1"/>
    <col min="7" max="7" width="41.453125" style="2" customWidth="1"/>
    <col min="8" max="8" width="43.7265625" style="4" customWidth="1"/>
    <col min="9" max="9" width="11.453125" style="9" customWidth="1"/>
    <col min="10" max="10" width="11.54296875" style="4" customWidth="1"/>
    <col min="11" max="11" width="12.453125" style="9" customWidth="1"/>
    <col min="12" max="12" width="13.453125" style="4" customWidth="1"/>
    <col min="13" max="13" width="11.1796875" style="4" customWidth="1"/>
    <col min="14" max="14" width="13.7265625" style="4" customWidth="1"/>
    <col min="15" max="15" width="11.453125" style="4" customWidth="1"/>
    <col min="16" max="16" width="6.54296875" style="4" customWidth="1"/>
    <col min="17" max="17" width="15.81640625" style="4" customWidth="1"/>
    <col min="18" max="18" width="9.81640625" style="4" customWidth="1"/>
    <col min="19" max="19" width="11.26953125" style="4" customWidth="1"/>
    <col min="20" max="20" width="6.54296875" style="4" customWidth="1"/>
    <col min="21" max="21" width="13.26953125" style="4" customWidth="1"/>
    <col min="22" max="22" width="12.26953125" style="4" customWidth="1"/>
    <col min="23" max="23" width="7.7265625" style="4" customWidth="1"/>
    <col min="24" max="24" width="8.1796875" style="4" customWidth="1"/>
    <col min="25" max="25" width="11.81640625" style="9" hidden="1" customWidth="1"/>
    <col min="26" max="26" width="11.54296875" style="9" hidden="1" customWidth="1"/>
    <col min="27" max="27" width="9.81640625" style="9" hidden="1" customWidth="1"/>
    <col min="28" max="28" width="10.81640625" style="9" hidden="1" customWidth="1"/>
    <col min="29" max="29" width="12.26953125" style="9" hidden="1" customWidth="1"/>
    <col min="30" max="30" width="11.54296875" style="9" hidden="1" customWidth="1"/>
    <col min="31" max="31" width="10.453125" style="9" hidden="1" customWidth="1"/>
    <col min="32" max="32" width="11.81640625" style="9" hidden="1" customWidth="1"/>
    <col min="33" max="33" width="12.1796875" style="9" hidden="1" customWidth="1"/>
    <col min="34" max="35" width="10.453125" style="9" hidden="1" customWidth="1"/>
    <col min="36" max="36" width="13.54296875" style="6" customWidth="1"/>
    <col min="37" max="37" width="11.54296875" style="6" customWidth="1"/>
    <col min="38" max="38" width="9.1796875" style="7" customWidth="1"/>
    <col min="39" max="39" width="12.7265625" style="205" customWidth="1"/>
    <col min="40" max="40" width="12.54296875" style="9" hidden="1" customWidth="1"/>
    <col min="41" max="41" width="11.54296875" style="7" hidden="1" customWidth="1"/>
    <col min="42" max="43" width="12.26953125" style="7" customWidth="1"/>
    <col min="44" max="44" width="16.7265625" style="8" customWidth="1" outlineLevel="1"/>
    <col min="45" max="45" width="16.1796875" style="6" customWidth="1" outlineLevel="1"/>
    <col min="46" max="46" width="16.81640625" style="6" customWidth="1" outlineLevel="1"/>
    <col min="47" max="47" width="14.7265625" style="6" customWidth="1" outlineLevel="1"/>
    <col min="48" max="48" width="17.81640625" style="6" customWidth="1" outlineLevel="1"/>
    <col min="49" max="49" width="13.453125" style="22" hidden="1" customWidth="1"/>
    <col min="50" max="50" width="11" style="9" customWidth="1"/>
    <col min="51" max="51" width="11.81640625" style="9" customWidth="1"/>
    <col min="52" max="52" width="16" style="3" hidden="1" customWidth="1" outlineLevel="1"/>
    <col min="53" max="53" width="13.7265625" style="9" customWidth="1" outlineLevel="1"/>
    <col min="54" max="54" width="12.81640625" style="9" hidden="1" customWidth="1" outlineLevel="1"/>
    <col min="55" max="55" width="14.7265625" style="39" hidden="1" customWidth="1" outlineLevel="1"/>
    <col min="56" max="56" width="13" style="39" hidden="1" customWidth="1" outlineLevel="1"/>
    <col min="57" max="58" width="15.7265625" style="39" hidden="1" customWidth="1" outlineLevel="1"/>
    <col min="59" max="59" width="15.7265625" style="39" customWidth="1" outlineLevel="1"/>
    <col min="60" max="62" width="14.7265625" style="39" hidden="1" customWidth="1" outlineLevel="1"/>
    <col min="63" max="63" width="14.7265625" style="5" hidden="1" customWidth="1" outlineLevel="1"/>
    <col min="64" max="64" width="14.81640625" style="9" hidden="1" customWidth="1" outlineLevel="1"/>
    <col min="65" max="65" width="14.7265625" style="3" hidden="1" customWidth="1" outlineLevel="1"/>
    <col min="66" max="66" width="14.1796875" style="9" customWidth="1" outlineLevel="1"/>
    <col min="67" max="67" width="12" style="3" customWidth="1" outlineLevel="1"/>
    <col min="68" max="68" width="13.54296875" style="3" hidden="1" customWidth="1" outlineLevel="1"/>
    <col min="69" max="69" width="15.26953125" style="95" hidden="1" customWidth="1"/>
    <col min="70" max="70" width="17.7265625" style="3" hidden="1" customWidth="1" outlineLevel="1"/>
    <col min="71" max="71" width="12.54296875" style="9" hidden="1" customWidth="1" outlineLevel="1"/>
    <col min="72" max="72" width="8.81640625" style="22" hidden="1" customWidth="1" outlineLevel="1"/>
    <col min="73" max="73" width="8.81640625" style="9" hidden="1" customWidth="1" collapsed="1"/>
    <col min="74" max="74" width="8.54296875" style="9" hidden="1" customWidth="1"/>
    <col min="75" max="75" width="8.81640625" style="9" hidden="1" customWidth="1"/>
    <col min="76" max="76" width="8.54296875" style="9" hidden="1" customWidth="1"/>
    <col min="77" max="77" width="9.7265625" style="9" hidden="1" customWidth="1"/>
    <col min="78" max="78" width="9.54296875" style="9" hidden="1" customWidth="1"/>
    <col min="79" max="79" width="8.7265625" style="9" hidden="1" customWidth="1"/>
    <col min="80" max="80" width="9.7265625" style="9" hidden="1" customWidth="1"/>
    <col min="81" max="81" width="9.1796875" style="9" hidden="1" customWidth="1"/>
    <col min="82" max="85" width="8.81640625" style="9" hidden="1" customWidth="1"/>
    <col min="86" max="86" width="11" style="9" hidden="1" customWidth="1"/>
    <col min="87" max="87" width="9.54296875" style="9" hidden="1" customWidth="1"/>
    <col min="88" max="88" width="9.1796875" style="4" hidden="1" customWidth="1"/>
    <col min="89" max="89" width="9.1796875" style="9" hidden="1" customWidth="1" outlineLevel="1"/>
    <col min="90" max="90" width="12.81640625" style="43" hidden="1" customWidth="1" outlineLevel="1"/>
    <col min="91" max="91" width="8.1796875" style="43" hidden="1" customWidth="1" outlineLevel="1"/>
    <col min="92" max="92" width="9.1796875" style="43" hidden="1" customWidth="1" outlineLevel="1"/>
    <col min="93" max="93" width="13.54296875" style="9" customWidth="1" outlineLevel="1"/>
    <col min="94" max="94" width="13.54296875" style="9" hidden="1" customWidth="1" outlineLevel="1"/>
    <col min="95" max="95" width="12.54296875" style="9" hidden="1" customWidth="1" outlineLevel="1"/>
    <col min="96" max="96" width="27.7265625" style="58" bestFit="1" customWidth="1"/>
    <col min="97" max="97" width="17.7265625" style="147" customWidth="1"/>
    <col min="98" max="16384" width="9.1796875" style="1"/>
  </cols>
  <sheetData>
    <row r="1" spans="1:97" hidden="1" x14ac:dyDescent="0.25"/>
    <row r="2" spans="1:97" s="85" customFormat="1" ht="28" hidden="1" x14ac:dyDescent="0.55000000000000004">
      <c r="B2" s="715" t="s">
        <v>924</v>
      </c>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c r="AJ2" s="715"/>
      <c r="AK2" s="715"/>
      <c r="AL2" s="715"/>
      <c r="AM2" s="715"/>
      <c r="AN2" s="715"/>
      <c r="AO2" s="715"/>
      <c r="AP2" s="715"/>
      <c r="AQ2" s="715"/>
      <c r="AR2" s="715"/>
      <c r="AS2" s="715"/>
      <c r="AT2" s="715"/>
      <c r="AU2" s="715"/>
      <c r="AV2" s="715"/>
      <c r="AW2" s="715"/>
      <c r="AX2" s="715"/>
      <c r="AY2" s="715"/>
      <c r="AZ2" s="715"/>
      <c r="BA2" s="715"/>
      <c r="BB2" s="715"/>
      <c r="BC2" s="715"/>
      <c r="BD2" s="715"/>
      <c r="BE2" s="715"/>
      <c r="BF2" s="715"/>
      <c r="BG2" s="715"/>
      <c r="BH2" s="715"/>
      <c r="BI2" s="715"/>
      <c r="BJ2" s="715"/>
      <c r="BK2" s="715"/>
      <c r="BL2" s="715"/>
      <c r="BM2" s="715"/>
      <c r="BN2" s="715"/>
      <c r="BO2" s="715"/>
      <c r="BP2" s="715"/>
      <c r="BQ2" s="715"/>
      <c r="BR2" s="715"/>
      <c r="BS2" s="715"/>
      <c r="BT2" s="715"/>
      <c r="BU2" s="715"/>
      <c r="BV2" s="715"/>
      <c r="BW2" s="715"/>
      <c r="BX2" s="715"/>
      <c r="BY2" s="715"/>
      <c r="BZ2" s="715"/>
      <c r="CA2" s="715"/>
      <c r="CB2" s="715"/>
      <c r="CC2" s="715"/>
      <c r="CD2" s="715"/>
      <c r="CE2" s="715"/>
      <c r="CF2" s="715"/>
      <c r="CG2" s="715"/>
      <c r="CH2" s="715"/>
      <c r="CI2" s="715"/>
      <c r="CJ2" s="715"/>
      <c r="CK2" s="715"/>
      <c r="CL2" s="715"/>
      <c r="CM2" s="715"/>
      <c r="CN2" s="715"/>
      <c r="CO2" s="715"/>
      <c r="CP2" s="715"/>
      <c r="CQ2" s="715"/>
      <c r="CR2" s="87"/>
      <c r="CS2" s="146"/>
    </row>
    <row r="3" spans="1:97" s="85" customFormat="1" ht="28" x14ac:dyDescent="0.5500000000000000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87"/>
      <c r="CS3" s="146"/>
    </row>
    <row r="4" spans="1:97" s="85" customFormat="1" ht="28" hidden="1" x14ac:dyDescent="0.5500000000000000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197"/>
      <c r="AN4" s="94"/>
      <c r="AO4" s="94"/>
      <c r="AP4" s="94"/>
      <c r="AQ4" s="94"/>
      <c r="AR4" s="94"/>
      <c r="AS4" s="94"/>
      <c r="AT4" s="94"/>
      <c r="AU4" s="94"/>
      <c r="AV4" s="94"/>
      <c r="AW4" s="94"/>
      <c r="AX4" s="94"/>
      <c r="AY4" s="94"/>
      <c r="AZ4" s="94"/>
      <c r="BA4" s="94"/>
      <c r="BB4" s="95"/>
      <c r="BC4" s="436" t="s">
        <v>339</v>
      </c>
      <c r="BD4" s="172"/>
      <c r="BE4" s="724" t="s">
        <v>338</v>
      </c>
      <c r="BF4" s="724"/>
      <c r="BG4" s="724"/>
      <c r="BH4" s="724"/>
      <c r="BI4" s="724"/>
      <c r="BJ4" s="724"/>
      <c r="BK4" s="724"/>
      <c r="BL4" s="724"/>
      <c r="BM4" s="99"/>
      <c r="BN4" s="99"/>
      <c r="BO4" s="99"/>
      <c r="BP4" s="99"/>
      <c r="BQ4" s="99"/>
      <c r="BR4" s="99"/>
      <c r="BS4" s="94"/>
      <c r="BT4" s="94"/>
      <c r="BU4" s="94"/>
      <c r="BV4" s="94"/>
      <c r="BW4" s="94"/>
      <c r="BX4" s="94"/>
      <c r="BY4" s="94"/>
      <c r="BZ4" s="94"/>
      <c r="CA4" s="94"/>
      <c r="CB4" s="94"/>
      <c r="CC4" s="94"/>
      <c r="CD4" s="94"/>
      <c r="CE4" s="94"/>
      <c r="CF4" s="94"/>
      <c r="CG4" s="94"/>
      <c r="CH4" s="94"/>
      <c r="CI4" s="94"/>
      <c r="CJ4" s="375"/>
      <c r="CK4" s="94"/>
      <c r="CL4" s="94"/>
      <c r="CM4" s="94"/>
      <c r="CN4" s="94"/>
      <c r="CO4" s="87"/>
      <c r="CP4" s="146"/>
    </row>
    <row r="5" spans="1:97" ht="30" hidden="1" x14ac:dyDescent="0.25">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198"/>
      <c r="AN5" s="53"/>
      <c r="AO5" s="53"/>
      <c r="AP5" s="53"/>
      <c r="AQ5" s="53"/>
      <c r="AR5" s="53"/>
      <c r="AS5" s="53"/>
      <c r="AT5" s="53"/>
      <c r="AU5" s="53"/>
      <c r="AV5" s="53"/>
      <c r="AW5" s="53"/>
      <c r="AX5" s="53"/>
      <c r="AY5" s="53"/>
      <c r="AZ5" s="53"/>
      <c r="BA5" s="53"/>
      <c r="BB5" s="101" t="s">
        <v>346</v>
      </c>
      <c r="BC5" s="8" t="e">
        <f>SUM(BC9:BC11,#REF!,#REF!,#REF!)</f>
        <v>#REF!</v>
      </c>
      <c r="BD5" s="8"/>
      <c r="BE5" s="8" t="e">
        <f>SUM(BE9:BE11,#REF!,#REF!,#REF!)</f>
        <v>#REF!</v>
      </c>
      <c r="BF5" s="95" t="s">
        <v>813</v>
      </c>
      <c r="BG5" s="8">
        <f>+BG13</f>
        <v>1580160</v>
      </c>
      <c r="BH5" s="8" t="e">
        <f>SUM(BH9:BH11,#REF!,#REF!,#REF!)</f>
        <v>#REF!</v>
      </c>
      <c r="BI5" s="8" t="e">
        <f>SUM(BI9:BI11,#REF!,#REF!,#REF!)</f>
        <v>#REF!</v>
      </c>
      <c r="BJ5" s="8" t="e">
        <f>SUM(BJ9:BJ11,#REF!,#REF!,#REF!)</f>
        <v>#REF!</v>
      </c>
      <c r="BK5" s="8" t="e">
        <f>SUM(BK9:BK11,#REF!,#REF!,#REF!)</f>
        <v>#REF!</v>
      </c>
      <c r="BL5" s="8" t="e">
        <f>SUM(BL9:BL11,#REF!,#REF!,#REF!+#REF!)</f>
        <v>#REF!</v>
      </c>
      <c r="BM5" s="53"/>
      <c r="BN5" s="53"/>
      <c r="BO5" s="53"/>
      <c r="BP5" s="53"/>
      <c r="BQ5" s="53"/>
      <c r="BR5" s="53"/>
      <c r="BS5" s="53"/>
      <c r="BT5" s="53"/>
      <c r="BU5" s="53"/>
      <c r="BV5" s="53"/>
      <c r="BW5" s="53"/>
      <c r="BX5" s="53"/>
      <c r="BY5" s="53"/>
      <c r="BZ5" s="53"/>
      <c r="CA5" s="53"/>
      <c r="CB5" s="53"/>
      <c r="CC5" s="53"/>
      <c r="CD5" s="53"/>
      <c r="CE5" s="53"/>
      <c r="CF5" s="53"/>
      <c r="CG5" s="744" t="s">
        <v>921</v>
      </c>
      <c r="CH5" s="744"/>
      <c r="CI5" s="744"/>
      <c r="CJ5" s="744"/>
      <c r="CK5" s="744"/>
      <c r="CL5" s="744"/>
      <c r="CM5" s="744"/>
      <c r="CN5" s="744"/>
      <c r="CO5" s="58"/>
      <c r="CP5" s="147"/>
      <c r="CQ5" s="1"/>
      <c r="CR5" s="1"/>
      <c r="CS5" s="1"/>
    </row>
    <row r="6" spans="1:97" s="50" customFormat="1" ht="32.15" hidden="1" customHeight="1" x14ac:dyDescent="0.3">
      <c r="B6" s="95"/>
      <c r="C6" s="99"/>
      <c r="D6" s="99"/>
      <c r="E6" s="99"/>
      <c r="F6" s="99"/>
      <c r="G6" s="99"/>
      <c r="H6" s="28"/>
      <c r="I6" s="95"/>
      <c r="J6" s="28"/>
      <c r="K6" s="95"/>
      <c r="L6" s="28"/>
      <c r="M6" s="28"/>
      <c r="N6" s="28"/>
      <c r="O6" s="28"/>
      <c r="P6" s="28"/>
      <c r="Q6" s="28"/>
      <c r="R6" s="28"/>
      <c r="S6" s="28"/>
      <c r="T6" s="28"/>
      <c r="U6" s="28"/>
      <c r="V6" s="28"/>
      <c r="W6" s="28"/>
      <c r="X6" s="28"/>
      <c r="Y6" s="95"/>
      <c r="Z6" s="95"/>
      <c r="AA6" s="95"/>
      <c r="AB6" s="95"/>
      <c r="AC6" s="95"/>
      <c r="AD6" s="95"/>
      <c r="AE6" s="95"/>
      <c r="AF6" s="95"/>
      <c r="AG6" s="95"/>
      <c r="AH6" s="95"/>
      <c r="AI6" s="95"/>
      <c r="AJ6" s="114"/>
      <c r="AK6" s="114"/>
      <c r="AL6" s="97"/>
      <c r="AM6" s="199"/>
      <c r="AN6" s="95"/>
      <c r="AO6" s="97"/>
      <c r="AP6" s="97"/>
      <c r="AQ6" s="97"/>
      <c r="AR6" s="49"/>
      <c r="AS6" s="49"/>
      <c r="AT6" s="49"/>
      <c r="AU6" s="49"/>
      <c r="AV6" s="49"/>
      <c r="AW6" s="42"/>
      <c r="AX6" s="95"/>
      <c r="AY6" s="95"/>
      <c r="AZ6" s="100"/>
      <c r="BA6" s="115"/>
      <c r="BB6" s="101" t="s">
        <v>814</v>
      </c>
      <c r="BC6" s="98" t="e">
        <f>+#REF!</f>
        <v>#REF!</v>
      </c>
      <c r="BD6" s="172"/>
      <c r="BE6" s="98" t="e">
        <f>+#REF!</f>
        <v>#REF!</v>
      </c>
      <c r="BF6" s="95" t="s">
        <v>813</v>
      </c>
      <c r="BG6" s="98">
        <v>1580160</v>
      </c>
      <c r="BH6" s="172"/>
      <c r="BI6" s="98"/>
      <c r="BJ6" s="415"/>
      <c r="BK6" s="98"/>
      <c r="BL6" s="98" t="e">
        <f>+#REF!</f>
        <v>#REF!</v>
      </c>
      <c r="BM6" s="94"/>
      <c r="BN6" s="94"/>
      <c r="BO6" s="94"/>
      <c r="BP6" s="95">
        <v>0.2</v>
      </c>
      <c r="BQ6" s="95">
        <v>20</v>
      </c>
      <c r="BR6" s="95">
        <v>10</v>
      </c>
      <c r="BS6" s="95"/>
      <c r="BT6" s="95">
        <v>5</v>
      </c>
      <c r="BU6" s="95">
        <v>10</v>
      </c>
      <c r="BV6" s="95">
        <v>15</v>
      </c>
      <c r="BW6" s="95">
        <v>20</v>
      </c>
      <c r="BX6" s="95">
        <v>25</v>
      </c>
      <c r="BY6" s="95"/>
      <c r="BZ6" s="95">
        <v>15</v>
      </c>
      <c r="CA6" s="95">
        <v>20</v>
      </c>
      <c r="CB6" s="95">
        <v>5</v>
      </c>
      <c r="CC6" s="95">
        <v>10</v>
      </c>
      <c r="CD6" s="95">
        <v>15</v>
      </c>
      <c r="CE6" s="95">
        <v>20</v>
      </c>
      <c r="CF6" s="95"/>
      <c r="CG6" s="95"/>
      <c r="CH6" s="95"/>
      <c r="CI6" s="95"/>
      <c r="CJ6" s="95"/>
      <c r="CK6" s="104"/>
      <c r="CL6" s="104">
        <v>3.5</v>
      </c>
      <c r="CM6" s="196">
        <v>5</v>
      </c>
      <c r="CN6" s="95"/>
      <c r="CO6" s="95"/>
      <c r="CP6" s="95"/>
      <c r="CQ6" s="59"/>
      <c r="CR6" s="148"/>
    </row>
    <row r="7" spans="1:97" s="50" customFormat="1" ht="21" hidden="1" customHeight="1" x14ac:dyDescent="0.3">
      <c r="B7" s="95"/>
      <c r="C7" s="99"/>
      <c r="D7" s="99"/>
      <c r="E7" s="99"/>
      <c r="F7" s="99"/>
      <c r="G7" s="99"/>
      <c r="H7" s="28"/>
      <c r="I7" s="95"/>
      <c r="J7" s="28"/>
      <c r="K7" s="95"/>
      <c r="L7" s="28"/>
      <c r="M7" s="28"/>
      <c r="N7" s="28"/>
      <c r="O7" s="28"/>
      <c r="P7" s="28"/>
      <c r="Q7" s="28"/>
      <c r="R7" s="28"/>
      <c r="S7" s="28"/>
      <c r="T7" s="28"/>
      <c r="U7" s="28"/>
      <c r="V7" s="28"/>
      <c r="W7" s="28"/>
      <c r="X7" s="28"/>
      <c r="Y7" s="95"/>
      <c r="Z7" s="95"/>
      <c r="AA7" s="95"/>
      <c r="AB7" s="95"/>
      <c r="AC7" s="95"/>
      <c r="AD7" s="95"/>
      <c r="AE7" s="95"/>
      <c r="AF7" s="95"/>
      <c r="AG7" s="95"/>
      <c r="AH7" s="95"/>
      <c r="AI7" s="95"/>
      <c r="AJ7" s="716" t="s">
        <v>242</v>
      </c>
      <c r="AK7" s="717"/>
      <c r="AL7" s="97"/>
      <c r="AM7" s="726" t="s">
        <v>802</v>
      </c>
      <c r="AN7" s="727"/>
      <c r="AO7" s="727"/>
      <c r="AP7" s="728"/>
      <c r="AQ7" s="558"/>
      <c r="AR7" s="729" t="s">
        <v>803</v>
      </c>
      <c r="AS7" s="730"/>
      <c r="AT7" s="730"/>
      <c r="AU7" s="730"/>
      <c r="AV7" s="731"/>
      <c r="AW7" s="42"/>
      <c r="AX7" s="95"/>
      <c r="AY7" s="95"/>
      <c r="AZ7" s="100"/>
      <c r="BA7" s="116" t="s">
        <v>242</v>
      </c>
      <c r="BB7" s="101"/>
      <c r="BC7" s="735" t="s">
        <v>347</v>
      </c>
      <c r="BD7" s="735"/>
      <c r="BE7" s="735"/>
      <c r="BF7" s="735"/>
      <c r="BG7" s="735"/>
      <c r="BH7" s="735"/>
      <c r="BI7" s="735"/>
      <c r="BJ7" s="735"/>
      <c r="BK7" s="735"/>
      <c r="BL7" s="735"/>
      <c r="BM7" s="102"/>
      <c r="BN7" s="49"/>
      <c r="BO7" s="49"/>
      <c r="BP7" s="103"/>
      <c r="BQ7" s="732" t="s">
        <v>804</v>
      </c>
      <c r="BR7" s="733"/>
      <c r="BS7" s="734"/>
      <c r="BT7" s="718" t="s">
        <v>805</v>
      </c>
      <c r="BU7" s="719"/>
      <c r="BV7" s="719"/>
      <c r="BW7" s="719"/>
      <c r="BX7" s="719"/>
      <c r="BY7" s="720"/>
      <c r="BZ7" s="95"/>
      <c r="CA7" s="95"/>
      <c r="CB7" s="721" t="s">
        <v>806</v>
      </c>
      <c r="CC7" s="722"/>
      <c r="CD7" s="722"/>
      <c r="CE7" s="722"/>
      <c r="CF7" s="723"/>
      <c r="CG7" s="95"/>
      <c r="CH7" s="95"/>
      <c r="CI7" s="95"/>
      <c r="CJ7" s="95"/>
      <c r="CK7" s="95"/>
      <c r="CL7" s="104"/>
      <c r="CM7" s="104"/>
      <c r="CN7" s="104"/>
      <c r="CO7" s="95"/>
      <c r="CP7" s="95"/>
      <c r="CQ7" s="95"/>
      <c r="CR7" s="59"/>
      <c r="CS7" s="148"/>
    </row>
    <row r="8" spans="1:97" s="381" customFormat="1" ht="82.5" customHeight="1" x14ac:dyDescent="0.3">
      <c r="A8" s="393" t="s">
        <v>0</v>
      </c>
      <c r="B8" s="393" t="s">
        <v>1</v>
      </c>
      <c r="C8" s="393" t="s">
        <v>22</v>
      </c>
      <c r="D8" s="393" t="s">
        <v>369</v>
      </c>
      <c r="E8" s="393" t="s">
        <v>925</v>
      </c>
      <c r="F8" s="393" t="s">
        <v>1238</v>
      </c>
      <c r="G8" s="393" t="s">
        <v>4</v>
      </c>
      <c r="H8" s="393" t="s">
        <v>926</v>
      </c>
      <c r="I8" s="394" t="s">
        <v>351</v>
      </c>
      <c r="J8" s="395" t="s">
        <v>352</v>
      </c>
      <c r="K8" s="395" t="s">
        <v>353</v>
      </c>
      <c r="L8" s="395" t="s">
        <v>354</v>
      </c>
      <c r="M8" s="395" t="s">
        <v>355</v>
      </c>
      <c r="N8" s="395" t="s">
        <v>356</v>
      </c>
      <c r="O8" s="394" t="s">
        <v>357</v>
      </c>
      <c r="P8" s="394" t="s">
        <v>358</v>
      </c>
      <c r="Q8" s="393" t="s">
        <v>359</v>
      </c>
      <c r="R8" s="396" t="s">
        <v>360</v>
      </c>
      <c r="S8" s="396" t="s">
        <v>361</v>
      </c>
      <c r="T8" s="394" t="s">
        <v>362</v>
      </c>
      <c r="U8" s="394" t="s">
        <v>363</v>
      </c>
      <c r="V8" s="393" t="s">
        <v>364</v>
      </c>
      <c r="W8" s="394" t="s">
        <v>365</v>
      </c>
      <c r="X8" s="397" t="s">
        <v>366</v>
      </c>
      <c r="Y8" s="397" t="s">
        <v>1001</v>
      </c>
      <c r="Z8" s="397" t="s">
        <v>1002</v>
      </c>
      <c r="AA8" s="397" t="s">
        <v>1012</v>
      </c>
      <c r="AB8" s="397" t="s">
        <v>1010</v>
      </c>
      <c r="AC8" s="397" t="s">
        <v>1003</v>
      </c>
      <c r="AD8" s="397" t="s">
        <v>1004</v>
      </c>
      <c r="AE8" s="397" t="s">
        <v>1005</v>
      </c>
      <c r="AF8" s="397" t="s">
        <v>1006</v>
      </c>
      <c r="AG8" s="397" t="s">
        <v>1009</v>
      </c>
      <c r="AH8" s="397" t="s">
        <v>1007</v>
      </c>
      <c r="AI8" s="397" t="s">
        <v>1008</v>
      </c>
      <c r="AJ8" s="421" t="s">
        <v>39</v>
      </c>
      <c r="AK8" s="421" t="s">
        <v>36</v>
      </c>
      <c r="AL8" s="421" t="s">
        <v>23</v>
      </c>
      <c r="AM8" s="398" t="s">
        <v>327</v>
      </c>
      <c r="AN8" s="399" t="s">
        <v>799</v>
      </c>
      <c r="AO8" s="400" t="s">
        <v>1143</v>
      </c>
      <c r="AP8" s="400" t="s">
        <v>1144</v>
      </c>
      <c r="AQ8" s="558" t="s">
        <v>2</v>
      </c>
      <c r="AR8" s="401" t="s">
        <v>234</v>
      </c>
      <c r="AS8" s="401" t="s">
        <v>235</v>
      </c>
      <c r="AT8" s="401" t="s">
        <v>236</v>
      </c>
      <c r="AU8" s="401" t="s">
        <v>233</v>
      </c>
      <c r="AV8" s="401" t="s">
        <v>963</v>
      </c>
      <c r="AW8" s="393" t="s">
        <v>28</v>
      </c>
      <c r="AX8" s="393" t="s">
        <v>5</v>
      </c>
      <c r="AY8" s="393" t="s">
        <v>6</v>
      </c>
      <c r="AZ8" s="393" t="s">
        <v>232</v>
      </c>
      <c r="BA8" s="393" t="s">
        <v>37</v>
      </c>
      <c r="BB8" s="402" t="s">
        <v>335</v>
      </c>
      <c r="BC8" s="403" t="s">
        <v>333</v>
      </c>
      <c r="BD8" s="403" t="s">
        <v>334</v>
      </c>
      <c r="BE8" s="403" t="s">
        <v>334</v>
      </c>
      <c r="BF8" s="403" t="s">
        <v>812</v>
      </c>
      <c r="BG8" s="403" t="s">
        <v>1170</v>
      </c>
      <c r="BH8" s="391" t="s">
        <v>30</v>
      </c>
      <c r="BI8" s="391" t="s">
        <v>32</v>
      </c>
      <c r="BJ8" s="391" t="s">
        <v>29</v>
      </c>
      <c r="BK8" s="391" t="s">
        <v>33</v>
      </c>
      <c r="BL8" s="391" t="s">
        <v>227</v>
      </c>
      <c r="BM8" s="392" t="s">
        <v>31</v>
      </c>
      <c r="BN8" s="394" t="s">
        <v>21</v>
      </c>
      <c r="BO8" s="394" t="s">
        <v>815</v>
      </c>
      <c r="BP8" s="392" t="s">
        <v>7</v>
      </c>
      <c r="BQ8" s="404" t="s">
        <v>8</v>
      </c>
      <c r="BR8" s="404" t="s">
        <v>9</v>
      </c>
      <c r="BS8" s="404" t="s">
        <v>25</v>
      </c>
      <c r="BT8" s="405" t="s">
        <v>10</v>
      </c>
      <c r="BU8" s="405" t="s">
        <v>11</v>
      </c>
      <c r="BV8" s="405" t="s">
        <v>12</v>
      </c>
      <c r="BW8" s="405" t="s">
        <v>13</v>
      </c>
      <c r="BX8" s="405" t="s">
        <v>14</v>
      </c>
      <c r="BY8" s="405" t="s">
        <v>15</v>
      </c>
      <c r="BZ8" s="393" t="s">
        <v>241</v>
      </c>
      <c r="CA8" s="393" t="s">
        <v>16</v>
      </c>
      <c r="CB8" s="427" t="s">
        <v>329</v>
      </c>
      <c r="CC8" s="427" t="s">
        <v>330</v>
      </c>
      <c r="CD8" s="427" t="s">
        <v>331</v>
      </c>
      <c r="CE8" s="427" t="s">
        <v>332</v>
      </c>
      <c r="CF8" s="427" t="s">
        <v>328</v>
      </c>
      <c r="CG8" s="407" t="s">
        <v>17</v>
      </c>
      <c r="CH8" s="404" t="s">
        <v>18</v>
      </c>
      <c r="CI8" s="408" t="s">
        <v>19</v>
      </c>
      <c r="CJ8" s="393" t="s">
        <v>807</v>
      </c>
      <c r="CK8" s="393" t="s">
        <v>20</v>
      </c>
      <c r="CL8" s="409" t="s">
        <v>794</v>
      </c>
      <c r="CM8" s="393" t="s">
        <v>795</v>
      </c>
      <c r="CN8" s="406" t="s">
        <v>328</v>
      </c>
      <c r="CO8" s="419" t="s">
        <v>1169</v>
      </c>
      <c r="CP8" s="460" t="s">
        <v>1</v>
      </c>
      <c r="CQ8" s="410" t="s">
        <v>349</v>
      </c>
    </row>
    <row r="9" spans="1:97" s="20" customFormat="1" ht="64.150000000000006" customHeight="1" x14ac:dyDescent="0.25">
      <c r="A9" s="430">
        <v>41</v>
      </c>
      <c r="B9" s="145">
        <f>+CP9</f>
        <v>45.92</v>
      </c>
      <c r="C9" s="557" t="s">
        <v>982</v>
      </c>
      <c r="D9" s="416" t="s">
        <v>1058</v>
      </c>
      <c r="E9" s="416" t="s">
        <v>932</v>
      </c>
      <c r="F9" s="610" t="s">
        <v>1270</v>
      </c>
      <c r="G9" s="416" t="s">
        <v>1142</v>
      </c>
      <c r="H9" s="416" t="s">
        <v>1057</v>
      </c>
      <c r="I9" s="161"/>
      <c r="J9" s="12"/>
      <c r="K9" s="161"/>
      <c r="L9" s="12"/>
      <c r="M9" s="12"/>
      <c r="N9" s="12"/>
      <c r="O9" s="12"/>
      <c r="P9" s="12"/>
      <c r="Q9" s="12"/>
      <c r="R9" s="12"/>
      <c r="S9" s="12"/>
      <c r="T9" s="12"/>
      <c r="U9" s="12"/>
      <c r="V9" s="12"/>
      <c r="W9" s="12"/>
      <c r="X9" s="12"/>
      <c r="Y9" s="161" t="s">
        <v>1018</v>
      </c>
      <c r="Z9" s="161" t="s">
        <v>1024</v>
      </c>
      <c r="AA9" s="161" t="s">
        <v>27</v>
      </c>
      <c r="AB9" s="161" t="s">
        <v>1022</v>
      </c>
      <c r="AC9" s="161" t="s">
        <v>1015</v>
      </c>
      <c r="AD9" s="161" t="s">
        <v>1023</v>
      </c>
      <c r="AE9" s="161" t="s">
        <v>27</v>
      </c>
      <c r="AF9" s="464">
        <v>45778</v>
      </c>
      <c r="AG9" s="161" t="s">
        <v>27</v>
      </c>
      <c r="AH9" s="161" t="s">
        <v>27</v>
      </c>
      <c r="AI9" s="161" t="s">
        <v>1021</v>
      </c>
      <c r="AJ9" s="51">
        <f>'Calculator Impact  2025'!O128</f>
        <v>1935</v>
      </c>
      <c r="AK9" s="51">
        <f>'Calculator Impact  2025'!E128</f>
        <v>71498</v>
      </c>
      <c r="AL9" s="433">
        <f>'Calculator Impact  2025'!P128</f>
        <v>2.7099999999999999E-2</v>
      </c>
      <c r="AM9" s="200">
        <v>45778</v>
      </c>
      <c r="AN9" s="33">
        <v>6</v>
      </c>
      <c r="AO9" s="61" t="s">
        <v>26</v>
      </c>
      <c r="AP9" s="61" t="s">
        <v>26</v>
      </c>
      <c r="AQ9" s="61" t="s">
        <v>1167</v>
      </c>
      <c r="AR9" s="15">
        <v>19950000</v>
      </c>
      <c r="AS9" s="31">
        <v>375000</v>
      </c>
      <c r="AT9" s="17">
        <f>AR9-AS9</f>
        <v>19575000</v>
      </c>
      <c r="AU9" s="16">
        <v>50000</v>
      </c>
      <c r="AV9" s="420">
        <f>IF((AT9+AU9)&gt;10000000,10000000,(AT9+AU9))</f>
        <v>10000000</v>
      </c>
      <c r="AW9" s="32" t="s">
        <v>26</v>
      </c>
      <c r="AX9" s="33" t="s">
        <v>1044</v>
      </c>
      <c r="AY9" s="18">
        <f>IF(AX9="5L",10,IF(AX9="5M",16,IF(AX9="5H",22,IF(AX9="4L",15,IF(AX9="4M",21,IF(AX9="4H",27,IF(AX9="3L",20,IF(AX9="3M",26,IF(AX9="3H",32,IF(AX9="2L",25,IF(AX9="2M",31,IF(AX9="2H",37,IF(AX9="1L",30,IF(AX9="1M",36,IF(AX9="1H",42,"")))))))))))))))</f>
        <v>22</v>
      </c>
      <c r="AZ9" s="37">
        <v>0</v>
      </c>
      <c r="BA9" s="435">
        <f>'Calculator Impact  2025'!$Q$128</f>
        <v>6.77</v>
      </c>
      <c r="BB9" s="413">
        <f>ROUND(IF($BA9&gt;=10,1,IF($BA9&gt;=7,$BA9*$BA9/100,0)),4)</f>
        <v>0</v>
      </c>
      <c r="BC9" s="414">
        <f>ROUND(IF(BB9*AT9&gt;=1000000,1000000,BB9*AT9),0)</f>
        <v>0</v>
      </c>
      <c r="BD9" s="413">
        <f>ROUND(IF($BA9&gt;=10,1,IF($BA9&gt;=6,$BA9*$BA9/100,0)),4)</f>
        <v>0.45829999999999999</v>
      </c>
      <c r="BE9" s="414">
        <f>ROUND(IF(BD9*AV9&gt;=1000000,1000000,BD9*AV9),0)</f>
        <v>1000000</v>
      </c>
      <c r="BF9" s="14">
        <f>ROUND(IF($BA9&gt;=10,1,IF($BA9&gt;=6,$BA9*$BA9/100,0)),4)</f>
        <v>0.45829999999999999</v>
      </c>
      <c r="BG9" s="57">
        <v>526720</v>
      </c>
      <c r="BH9" s="383" t="s">
        <v>27</v>
      </c>
      <c r="BI9" s="385">
        <v>0</v>
      </c>
      <c r="BJ9" s="383"/>
      <c r="BK9" s="385">
        <f>IF(BJ9="Yes",25000,0)</f>
        <v>0</v>
      </c>
      <c r="BL9" s="385">
        <f>AZ9+BK9</f>
        <v>0</v>
      </c>
      <c r="BM9" s="386"/>
      <c r="BN9" s="379">
        <v>526720</v>
      </c>
      <c r="BO9" s="51">
        <v>0</v>
      </c>
      <c r="BP9" s="29">
        <f>AZ9/AR9</f>
        <v>0</v>
      </c>
      <c r="BQ9" s="443" t="s">
        <v>1036</v>
      </c>
      <c r="BR9" s="443"/>
      <c r="BS9" s="444">
        <f>IF(BQ9&lt;&gt;0,$BQ$6,IF(BR9&lt;&gt;0,$BR$6,0))</f>
        <v>20</v>
      </c>
      <c r="BT9" s="439"/>
      <c r="BU9" s="439" t="s">
        <v>1036</v>
      </c>
      <c r="BV9" s="440"/>
      <c r="BW9" s="440"/>
      <c r="BX9" s="439"/>
      <c r="BY9" s="440">
        <f>IF(BT9&lt;&gt;0,$BT$6,IF(BU9&lt;&gt;0,$BU$6,IF(BV9&lt;&gt;0,$BV$6,IF(BW9&lt;&gt;0,$BW$6,IF(BX9&lt;&gt;0,$BX$6,0)))))</f>
        <v>10</v>
      </c>
      <c r="BZ9" s="34" t="s">
        <v>1036</v>
      </c>
      <c r="CA9" s="34" t="s">
        <v>1036</v>
      </c>
      <c r="CB9" s="447"/>
      <c r="CC9" s="447"/>
      <c r="CD9" s="447"/>
      <c r="CE9" s="447"/>
      <c r="CF9" s="448">
        <f>IF(CB9&lt;&gt;0,$CB$6,IF(CC9&lt;&gt;0,$CC$6,IF(CD9&lt;&gt;0,$CD$6,IF(CE9&lt;&gt;0,$CE$6,0))))</f>
        <v>0</v>
      </c>
      <c r="CG9" s="451">
        <f>BP9*$BP$6*AY9</f>
        <v>0</v>
      </c>
      <c r="CH9" s="452">
        <f>(BS9*AY9)/100</f>
        <v>4.4000000000000004</v>
      </c>
      <c r="CI9" s="453">
        <f>(BY9*AY9)/100</f>
        <v>2.2000000000000002</v>
      </c>
      <c r="CJ9" s="437">
        <f>IF(BZ9&lt;&gt;0,($BZ$6*AY9)/100,0)</f>
        <v>3.3</v>
      </c>
      <c r="CK9" s="454">
        <f>IF(CA9&lt;&gt;0,($CA$6*AY9)/100,0)</f>
        <v>4.4000000000000004</v>
      </c>
      <c r="CL9" s="455">
        <f>((AN9*$CL$6)*AY9)/100</f>
        <v>4.62</v>
      </c>
      <c r="CM9" s="456">
        <f>IF(AP9="Yes",$CM$6, 0)</f>
        <v>5</v>
      </c>
      <c r="CN9" s="453">
        <f>(CF9*AY9)/100</f>
        <v>0</v>
      </c>
      <c r="CO9" s="13">
        <f>BN9+BO9</f>
        <v>526720</v>
      </c>
      <c r="CP9" s="451">
        <f>SUM(CG9:CN9)+AY9</f>
        <v>45.92</v>
      </c>
      <c r="CQ9" s="33"/>
    </row>
    <row r="10" spans="1:97" s="20" customFormat="1" ht="51" customHeight="1" x14ac:dyDescent="0.25">
      <c r="A10" s="430">
        <v>49</v>
      </c>
      <c r="B10" s="145">
        <f>+CP10</f>
        <v>32.5</v>
      </c>
      <c r="C10" s="557" t="s">
        <v>990</v>
      </c>
      <c r="D10" s="416"/>
      <c r="E10" s="416" t="s">
        <v>932</v>
      </c>
      <c r="F10" s="610" t="s">
        <v>1271</v>
      </c>
      <c r="G10" s="416" t="s">
        <v>991</v>
      </c>
      <c r="H10" s="416" t="s">
        <v>1027</v>
      </c>
      <c r="I10" s="161"/>
      <c r="J10" s="12"/>
      <c r="K10" s="161"/>
      <c r="L10" s="12"/>
      <c r="M10" s="12"/>
      <c r="N10" s="12"/>
      <c r="O10" s="12"/>
      <c r="P10" s="12"/>
      <c r="Q10" s="12"/>
      <c r="R10" s="12"/>
      <c r="S10" s="12"/>
      <c r="T10" s="12"/>
      <c r="U10" s="12"/>
      <c r="V10" s="12"/>
      <c r="W10" s="12"/>
      <c r="X10" s="12"/>
      <c r="Y10" s="161" t="s">
        <v>1025</v>
      </c>
      <c r="Z10" s="161" t="s">
        <v>1026</v>
      </c>
      <c r="AA10" s="161" t="s">
        <v>27</v>
      </c>
      <c r="AB10" s="161" t="s">
        <v>1011</v>
      </c>
      <c r="AC10" s="161" t="s">
        <v>27</v>
      </c>
      <c r="AD10" s="161" t="s">
        <v>27</v>
      </c>
      <c r="AE10" s="161" t="s">
        <v>27</v>
      </c>
      <c r="AF10" s="464">
        <v>46266</v>
      </c>
      <c r="AG10" s="161" t="s">
        <v>27</v>
      </c>
      <c r="AH10" s="161" t="s">
        <v>1013</v>
      </c>
      <c r="AI10" s="161" t="s">
        <v>27</v>
      </c>
      <c r="AJ10" s="51">
        <f>'Calculator Impact  2025'!O146</f>
        <v>680</v>
      </c>
      <c r="AK10" s="51">
        <f>'Calculator Impact  2025'!E146</f>
        <v>74286</v>
      </c>
      <c r="AL10" s="433">
        <f>'Calculator Impact  2025'!P146</f>
        <v>9.1999999999999998E-3</v>
      </c>
      <c r="AM10" s="200">
        <v>46266</v>
      </c>
      <c r="AN10" s="33">
        <v>0</v>
      </c>
      <c r="AO10" s="61" t="s">
        <v>26</v>
      </c>
      <c r="AP10" s="61" t="s">
        <v>26</v>
      </c>
      <c r="AQ10" s="61" t="s">
        <v>1167</v>
      </c>
      <c r="AR10" s="15">
        <v>9000000</v>
      </c>
      <c r="AS10" s="31">
        <v>0</v>
      </c>
      <c r="AT10" s="17">
        <f>AR10-AS10</f>
        <v>9000000</v>
      </c>
      <c r="AU10" s="16">
        <v>0</v>
      </c>
      <c r="AV10" s="17">
        <f>IF((AT10+AU10)&gt;10000000,10000000,(AT10+AU10))</f>
        <v>9000000</v>
      </c>
      <c r="AW10" s="32" t="s">
        <v>26</v>
      </c>
      <c r="AX10" s="33" t="s">
        <v>1044</v>
      </c>
      <c r="AY10" s="18">
        <f>IF(AX10="5L",10,IF(AX10="5M",16,IF(AX10="5H",22,IF(AX10="4L",15,IF(AX10="4M",21,IF(AX10="4H",27,IF(AX10="3L",20,IF(AX10="3M",26,IF(AX10="3H",32,IF(AX10="2L",25,IF(AX10="2M",31,IF(AX10="2H",37,IF(AX10="1L",30,IF(AX10="1M",36,IF(AX10="1H",42,"")))))))))))))))</f>
        <v>22</v>
      </c>
      <c r="AZ10" s="37">
        <v>0</v>
      </c>
      <c r="BA10" s="435">
        <f>'Calculator Impact  2025'!$Q$146</f>
        <v>3.59</v>
      </c>
      <c r="BB10" s="413">
        <f>ROUND(IF($BA10&gt;=10,1,IF($BA10&gt;=7,$BA10*$BA10/100,0)),4)</f>
        <v>0</v>
      </c>
      <c r="BC10" s="414">
        <f>ROUND(IF(BB10*AT10&gt;=1000000,1000000,BB10*AT10),0)</f>
        <v>0</v>
      </c>
      <c r="BD10" s="413">
        <f>ROUND(IF($BA10&gt;=10,1,IF($BA10&gt;=6,$BA10*$BA10/100,0)),4)</f>
        <v>0</v>
      </c>
      <c r="BE10" s="414">
        <f>ROUND(IF(BD10*AV10&gt;=1000000,1000000,BD10*AV10),0)</f>
        <v>0</v>
      </c>
      <c r="BF10" s="14">
        <f>ROUND(IF($BA10&gt;=10,1,IF($BA10&gt;=6,$BA10*$BA10/100,0)),4)</f>
        <v>0</v>
      </c>
      <c r="BG10" s="57">
        <v>526720</v>
      </c>
      <c r="BH10" s="383" t="s">
        <v>27</v>
      </c>
      <c r="BI10" s="385">
        <v>0</v>
      </c>
      <c r="BJ10" s="383" t="s">
        <v>27</v>
      </c>
      <c r="BK10" s="385">
        <f>IF(BJ10="Yes",25000,0)</f>
        <v>0</v>
      </c>
      <c r="BL10" s="385">
        <f>AZ10+BK10</f>
        <v>0</v>
      </c>
      <c r="BM10" s="387"/>
      <c r="BN10" s="379">
        <v>526720</v>
      </c>
      <c r="BO10" s="51">
        <v>0</v>
      </c>
      <c r="BP10" s="29">
        <f>AZ10/AR10</f>
        <v>0</v>
      </c>
      <c r="BQ10" s="443"/>
      <c r="BR10" s="443"/>
      <c r="BS10" s="444">
        <f>IF(BQ10&lt;&gt;0,$BQ$6,IF(BR10&lt;&gt;0,$BR$6,0))</f>
        <v>0</v>
      </c>
      <c r="BT10" s="439"/>
      <c r="BU10" s="439" t="s">
        <v>1036</v>
      </c>
      <c r="BV10" s="439"/>
      <c r="BW10" s="440"/>
      <c r="BX10" s="439"/>
      <c r="BY10" s="440">
        <f>IF(BT10&lt;&gt;0,$BT$6,IF(BU10&lt;&gt;0,$BU$6,IF(BV10&lt;&gt;0,$BV$6,IF(BW10&lt;&gt;0,$BW$6,IF(BX10&lt;&gt;0,$BX$6,0)))))</f>
        <v>10</v>
      </c>
      <c r="BZ10" s="34" t="s">
        <v>1036</v>
      </c>
      <c r="CA10" s="34"/>
      <c r="CB10" s="447"/>
      <c r="CC10" s="447"/>
      <c r="CD10" s="447"/>
      <c r="CE10" s="447"/>
      <c r="CF10" s="448">
        <f>IF(CB10&lt;&gt;0,$CB$6,IF(CC10&lt;&gt;0,$CC$6,IF(CD10&lt;&gt;0,$CD$6,IF(CE10&lt;&gt;0,$CE$6,0))))</f>
        <v>0</v>
      </c>
      <c r="CG10" s="451">
        <f>BP10*$BP$6*AY10</f>
        <v>0</v>
      </c>
      <c r="CH10" s="452">
        <f>(BS10*AY10)/100</f>
        <v>0</v>
      </c>
      <c r="CI10" s="453">
        <f>(BY10*AY10)/100</f>
        <v>2.2000000000000002</v>
      </c>
      <c r="CJ10" s="437">
        <f>IF(BZ10&lt;&gt;0,($BZ$6*AY10)/100,0)</f>
        <v>3.3</v>
      </c>
      <c r="CK10" s="454">
        <f>IF(CA10&lt;&gt;0,($CA$6*AY10)/100,0)</f>
        <v>0</v>
      </c>
      <c r="CL10" s="455">
        <f>((AN10*$CL$6)*AY10)/100</f>
        <v>0</v>
      </c>
      <c r="CM10" s="456">
        <f>IF(AP10="Yes",$CM$6, 0)</f>
        <v>5</v>
      </c>
      <c r="CN10" s="453">
        <f>(CF10*AY10)/100</f>
        <v>0</v>
      </c>
      <c r="CO10" s="13">
        <f>BN10+BO10</f>
        <v>526720</v>
      </c>
      <c r="CP10" s="451">
        <f>SUM(CG10:CN10)+AY10</f>
        <v>32.5</v>
      </c>
      <c r="CQ10" s="33"/>
    </row>
    <row r="11" spans="1:97" s="20" customFormat="1" ht="63.65" customHeight="1" x14ac:dyDescent="0.25">
      <c r="A11" s="11">
        <v>52</v>
      </c>
      <c r="B11" s="21">
        <f>+CP11</f>
        <v>30.783999999999999</v>
      </c>
      <c r="C11" s="557" t="s">
        <v>995</v>
      </c>
      <c r="D11" s="12" t="s">
        <v>1067</v>
      </c>
      <c r="E11" s="416" t="s">
        <v>932</v>
      </c>
      <c r="F11" s="610" t="s">
        <v>1272</v>
      </c>
      <c r="G11" s="416" t="s">
        <v>996</v>
      </c>
      <c r="H11" s="416" t="s">
        <v>1030</v>
      </c>
      <c r="I11" s="161"/>
      <c r="J11" s="12"/>
      <c r="K11" s="161"/>
      <c r="L11" s="12"/>
      <c r="M11" s="12"/>
      <c r="N11" s="12"/>
      <c r="O11" s="12"/>
      <c r="P11" s="12"/>
      <c r="Q11" s="12"/>
      <c r="R11" s="12"/>
      <c r="S11" s="12"/>
      <c r="T11" s="12"/>
      <c r="U11" s="12"/>
      <c r="V11" s="12"/>
      <c r="W11" s="12"/>
      <c r="X11" s="12"/>
      <c r="Y11" s="161" t="s">
        <v>1031</v>
      </c>
      <c r="Z11" s="161" t="s">
        <v>1011</v>
      </c>
      <c r="AA11" s="161" t="s">
        <v>27</v>
      </c>
      <c r="AB11" s="161" t="s">
        <v>1022</v>
      </c>
      <c r="AC11" s="161" t="s">
        <v>27</v>
      </c>
      <c r="AD11" s="161" t="s">
        <v>27</v>
      </c>
      <c r="AE11" s="161" t="s">
        <v>27</v>
      </c>
      <c r="AF11" s="464">
        <v>46266</v>
      </c>
      <c r="AG11" s="161" t="s">
        <v>27</v>
      </c>
      <c r="AH11" s="161" t="s">
        <v>27</v>
      </c>
      <c r="AI11" s="161" t="s">
        <v>27</v>
      </c>
      <c r="AJ11" s="51">
        <f>'Calculator Impact  2025'!O164</f>
        <v>522</v>
      </c>
      <c r="AK11" s="51">
        <f>'Calculator Impact  2025'!E164</f>
        <v>75705</v>
      </c>
      <c r="AL11" s="433">
        <f>'Calculator Impact  2025'!P164</f>
        <v>6.8999999999999999E-3</v>
      </c>
      <c r="AM11" s="200">
        <v>46266</v>
      </c>
      <c r="AN11" s="33">
        <v>0</v>
      </c>
      <c r="AO11" s="61" t="s">
        <v>26</v>
      </c>
      <c r="AP11" s="61" t="s">
        <v>26</v>
      </c>
      <c r="AQ11" s="61" t="s">
        <v>1168</v>
      </c>
      <c r="AR11" s="15">
        <v>10000000</v>
      </c>
      <c r="AS11" s="31">
        <v>0</v>
      </c>
      <c r="AT11" s="17">
        <f>AR11-AS11</f>
        <v>10000000</v>
      </c>
      <c r="AU11" s="16">
        <v>0</v>
      </c>
      <c r="AV11" s="17">
        <f>IF((AT11+AU11)&gt;10000000,10000000,(AT11+AU11))</f>
        <v>10000000</v>
      </c>
      <c r="AW11" s="32" t="s">
        <v>26</v>
      </c>
      <c r="AX11" s="33" t="s">
        <v>1044</v>
      </c>
      <c r="AY11" s="18">
        <f>IF(AX11="5L",10,IF(AX11="5M",16,IF(AX11="5H",22,IF(AX11="4L",15,IF(AX11="4M",21,IF(AX11="4H",27,IF(AX11="3L",20,IF(AX11="3M",26,IF(AX11="3H",32,IF(AX11="2L",25,IF(AX11="2M",31,IF(AX11="2H",37,IF(AX11="1L",30,IF(AX11="1M",36,IF(AX11="1H",42,"")))))))))))))))</f>
        <v>22</v>
      </c>
      <c r="AZ11" s="37">
        <v>3600000</v>
      </c>
      <c r="BA11" s="435">
        <f>'Calculator Impact  2025'!$Q$164</f>
        <v>3.34</v>
      </c>
      <c r="BB11" s="413">
        <f>ROUND(IF($BA11&gt;=10,1,IF($BA11&gt;=7,$BA11*$BA11/100,0)),4)</f>
        <v>0</v>
      </c>
      <c r="BC11" s="414">
        <f>ROUND(IF(BB11*AT11&gt;=1000000,1000000,BB11*AT11),0)</f>
        <v>0</v>
      </c>
      <c r="BD11" s="413">
        <f>ROUND(IF($BA11&gt;=10,1,IF($BA11&gt;=6,$BA11*$BA11/100,0)),4)</f>
        <v>0</v>
      </c>
      <c r="BE11" s="414">
        <f>ROUND(IF(BD11*AV11&gt;=1000000,1000000,BD11*AV11),0)</f>
        <v>0</v>
      </c>
      <c r="BF11" s="14">
        <f>ROUND(IF($BA11&gt;=10,1,IF($BA11&gt;=6,$BA11*$BA11/100,0)),4)</f>
        <v>0</v>
      </c>
      <c r="BG11" s="57">
        <v>526720</v>
      </c>
      <c r="BH11" s="383" t="s">
        <v>27</v>
      </c>
      <c r="BI11" s="385">
        <v>0</v>
      </c>
      <c r="BJ11" s="383" t="s">
        <v>27</v>
      </c>
      <c r="BK11" s="385">
        <f>IF(BJ11="Yes",25000,0)</f>
        <v>0</v>
      </c>
      <c r="BL11" s="385">
        <f>AZ11+BK11</f>
        <v>3600000</v>
      </c>
      <c r="BM11" s="386"/>
      <c r="BN11" s="379">
        <v>526720</v>
      </c>
      <c r="BO11" s="51">
        <v>0</v>
      </c>
      <c r="BP11" s="29">
        <f>AZ11/AR11</f>
        <v>0.36</v>
      </c>
      <c r="BQ11" s="444"/>
      <c r="BR11" s="443"/>
      <c r="BS11" s="444">
        <f>IF(BQ11&lt;&gt;0,$BQ$6,IF(BR11&lt;&gt;0,$BR$6,0))</f>
        <v>0</v>
      </c>
      <c r="BT11" s="439"/>
      <c r="BU11" s="439" t="s">
        <v>1036</v>
      </c>
      <c r="BV11" s="440"/>
      <c r="BW11" s="440"/>
      <c r="BX11" s="439"/>
      <c r="BY11" s="440">
        <f>IF(BT11&lt;&gt;0,$BT$6,IF(BU11&lt;&gt;0,$BU$6,IF(BV11&lt;&gt;0,$BV$6,IF(BW11&lt;&gt;0,$BW$6,IF(BX11&lt;&gt;0,$BX$6,0)))))</f>
        <v>10</v>
      </c>
      <c r="BZ11" s="34"/>
      <c r="CA11" s="34"/>
      <c r="CB11" s="447"/>
      <c r="CC11" s="447"/>
      <c r="CD11" s="447"/>
      <c r="CE11" s="447"/>
      <c r="CF11" s="448">
        <f>IF(CB11&lt;&gt;0,$CB$6,IF(CC11&lt;&gt;0,$CC$6,IF(CD11&lt;&gt;0,$CD$6,IF(CE11&lt;&gt;0,$CE$6,0))))</f>
        <v>0</v>
      </c>
      <c r="CG11" s="451">
        <f>BP11*$BP$6*AY11</f>
        <v>1.5839999999999999</v>
      </c>
      <c r="CH11" s="452">
        <f>(BS11*AY11)/100</f>
        <v>0</v>
      </c>
      <c r="CI11" s="453">
        <f>(BY11*AY11)/100</f>
        <v>2.2000000000000002</v>
      </c>
      <c r="CJ11" s="437">
        <f>IF(BZ11&lt;&gt;0,($BZ$6*AY11)/100,0)</f>
        <v>0</v>
      </c>
      <c r="CK11" s="454">
        <f>IF(CA11&lt;&gt;0,($CA$6*AY11)/100,0)</f>
        <v>0</v>
      </c>
      <c r="CL11" s="455">
        <f>((AN11*$CL$6)*AY11)/100</f>
        <v>0</v>
      </c>
      <c r="CM11" s="456">
        <f>IF(AP11="Yes",$CM$6, 0)</f>
        <v>5</v>
      </c>
      <c r="CN11" s="453">
        <f>(CF11*AY11)/100</f>
        <v>0</v>
      </c>
      <c r="CO11" s="13">
        <f>BN11+BO11</f>
        <v>526720</v>
      </c>
      <c r="CP11" s="451">
        <f>SUM(CG11:CN11)+AY11</f>
        <v>30.783999999999999</v>
      </c>
      <c r="CQ11" s="33"/>
      <c r="CR11" s="107"/>
    </row>
    <row r="12" spans="1:97" s="20" customFormat="1" ht="15.5" x14ac:dyDescent="0.25">
      <c r="A12" s="128"/>
      <c r="B12" s="129"/>
      <c r="C12" s="130"/>
      <c r="D12" s="130"/>
      <c r="E12" s="130"/>
      <c r="F12" s="130"/>
      <c r="G12" s="130"/>
      <c r="H12" s="130"/>
      <c r="I12" s="163"/>
      <c r="J12" s="130"/>
      <c r="K12" s="163"/>
      <c r="L12" s="130"/>
      <c r="M12" s="130"/>
      <c r="N12" s="130"/>
      <c r="O12" s="130"/>
      <c r="P12" s="130"/>
      <c r="Q12" s="130"/>
      <c r="R12" s="130"/>
      <c r="S12" s="130"/>
      <c r="T12" s="130"/>
      <c r="U12" s="130"/>
      <c r="V12" s="130"/>
      <c r="W12" s="130"/>
      <c r="X12" s="130"/>
      <c r="Y12" s="163"/>
      <c r="Z12" s="163"/>
      <c r="AA12" s="163"/>
      <c r="AB12" s="163"/>
      <c r="AC12" s="163"/>
      <c r="AD12" s="163"/>
      <c r="AE12" s="163"/>
      <c r="AF12" s="163"/>
      <c r="AG12" s="163"/>
      <c r="AH12" s="163"/>
      <c r="AI12" s="163"/>
      <c r="AJ12" s="131"/>
      <c r="AK12" s="131"/>
      <c r="AL12" s="132"/>
      <c r="AM12" s="202"/>
      <c r="AN12" s="138"/>
      <c r="AO12" s="132"/>
      <c r="AP12" s="132"/>
      <c r="AQ12" s="132"/>
      <c r="AR12" s="133"/>
      <c r="AS12" s="125"/>
      <c r="AT12" s="118"/>
      <c r="AU12" s="117"/>
      <c r="AV12" s="118"/>
      <c r="AW12" s="135"/>
      <c r="AX12" s="137"/>
      <c r="AY12" s="138"/>
      <c r="AZ12" s="131"/>
      <c r="BA12" s="129"/>
      <c r="BB12" s="132"/>
      <c r="BC12" s="139"/>
      <c r="BD12" s="132"/>
      <c r="BE12" s="139"/>
      <c r="BF12" s="139"/>
      <c r="BG12" s="139"/>
      <c r="BH12" s="135"/>
      <c r="BI12" s="140"/>
      <c r="BJ12" s="135"/>
      <c r="BK12" s="139"/>
      <c r="BL12" s="140"/>
      <c r="BM12" s="141"/>
      <c r="BN12" s="139"/>
      <c r="BO12" s="140"/>
      <c r="BP12" s="142"/>
      <c r="BQ12" s="120"/>
      <c r="BR12" s="119"/>
      <c r="BS12" s="120"/>
      <c r="BT12" s="119"/>
      <c r="BU12" s="119"/>
      <c r="BV12" s="120"/>
      <c r="BW12" s="120"/>
      <c r="BX12" s="119"/>
      <c r="BY12" s="120"/>
      <c r="BZ12" s="119"/>
      <c r="CA12" s="119"/>
      <c r="CB12" s="122"/>
      <c r="CC12" s="122"/>
      <c r="CD12" s="122"/>
      <c r="CE12" s="122"/>
      <c r="CF12" s="120"/>
      <c r="CG12" s="123"/>
      <c r="CH12" s="124"/>
      <c r="CI12" s="121"/>
      <c r="CJ12" s="120"/>
      <c r="CK12" s="143"/>
      <c r="CL12" s="376"/>
      <c r="CM12" s="195"/>
      <c r="CN12" s="121"/>
      <c r="CO12" s="140"/>
      <c r="CP12" s="123"/>
      <c r="CQ12" s="144"/>
    </row>
    <row r="13" spans="1:97" s="70" customFormat="1" ht="25" customHeight="1" x14ac:dyDescent="0.25">
      <c r="A13" s="382"/>
      <c r="B13" s="76"/>
      <c r="C13" s="77"/>
      <c r="D13" s="77"/>
      <c r="E13" s="77"/>
      <c r="F13" s="77"/>
      <c r="G13" s="77"/>
      <c r="H13" s="89"/>
      <c r="I13" s="164"/>
      <c r="J13" s="89"/>
      <c r="K13" s="164"/>
      <c r="L13" s="89"/>
      <c r="M13" s="89"/>
      <c r="N13" s="89"/>
      <c r="O13" s="89"/>
      <c r="P13" s="89"/>
      <c r="Q13" s="89"/>
      <c r="R13" s="89"/>
      <c r="S13" s="89"/>
      <c r="T13" s="89"/>
      <c r="U13" s="89"/>
      <c r="V13" s="89"/>
      <c r="W13" s="89"/>
      <c r="X13" s="89"/>
      <c r="Y13" s="164"/>
      <c r="Z13" s="164"/>
      <c r="AA13" s="164"/>
      <c r="AB13" s="164"/>
      <c r="AC13" s="164"/>
      <c r="AD13" s="164"/>
      <c r="AE13" s="164"/>
      <c r="AF13" s="164"/>
      <c r="AG13" s="164"/>
      <c r="AH13" s="164"/>
      <c r="AI13" s="164"/>
      <c r="AJ13" s="79"/>
      <c r="AK13" s="79"/>
      <c r="AL13" s="80"/>
      <c r="AM13" s="203"/>
      <c r="AN13" s="78"/>
      <c r="AO13" s="80"/>
      <c r="AP13" s="80"/>
      <c r="AQ13" s="80"/>
      <c r="AR13" s="79">
        <f>SUM(AR9:AR12)</f>
        <v>38950000</v>
      </c>
      <c r="AS13" s="79">
        <f>SUM(AS9:AS12)</f>
        <v>375000</v>
      </c>
      <c r="AT13" s="79">
        <f>SUM(AT9:AT12)</f>
        <v>38575000</v>
      </c>
      <c r="AU13" s="79">
        <f>SUM(AU9:AU12)</f>
        <v>50000</v>
      </c>
      <c r="AV13" s="79">
        <f>SUM(AV9:AV12)</f>
        <v>29000000</v>
      </c>
      <c r="AW13" s="79"/>
      <c r="AX13" s="79"/>
      <c r="AY13" s="79"/>
      <c r="AZ13" s="79">
        <f>SUM(AZ9:AZ12)</f>
        <v>3600000</v>
      </c>
      <c r="BA13" s="79"/>
      <c r="BB13" s="79"/>
      <c r="BC13" s="79">
        <f>SUM(BC9:BC11)</f>
        <v>0</v>
      </c>
      <c r="BD13" s="79"/>
      <c r="BE13" s="79">
        <f>SUM(BE9:BE11)</f>
        <v>1000000</v>
      </c>
      <c r="BF13" s="79"/>
      <c r="BG13" s="79">
        <f>SUM(BG7:BG11)</f>
        <v>1580160</v>
      </c>
      <c r="BH13" s="79">
        <f t="shared" ref="BH13:BN13" si="0">SUM(BH9:BH11)</f>
        <v>0</v>
      </c>
      <c r="BI13" s="79">
        <f t="shared" si="0"/>
        <v>0</v>
      </c>
      <c r="BJ13" s="79">
        <f t="shared" si="0"/>
        <v>0</v>
      </c>
      <c r="BK13" s="79">
        <f t="shared" si="0"/>
        <v>0</v>
      </c>
      <c r="BL13" s="79">
        <f t="shared" si="0"/>
        <v>3600000</v>
      </c>
      <c r="BM13" s="79">
        <f t="shared" si="0"/>
        <v>0</v>
      </c>
      <c r="BN13" s="79">
        <f t="shared" si="0"/>
        <v>1580160</v>
      </c>
      <c r="BO13" s="79">
        <f>SUM(BO9:BO12)</f>
        <v>0</v>
      </c>
      <c r="BP13" s="79"/>
      <c r="BQ13" s="79"/>
      <c r="BR13" s="79"/>
      <c r="BS13" s="79"/>
      <c r="BT13" s="79"/>
      <c r="BU13" s="79"/>
      <c r="BV13" s="79"/>
      <c r="BW13" s="79"/>
      <c r="BX13" s="79"/>
      <c r="BY13" s="79"/>
      <c r="BZ13" s="79"/>
      <c r="CA13" s="79"/>
      <c r="CB13" s="79"/>
      <c r="CC13" s="79"/>
      <c r="CD13" s="79"/>
      <c r="CE13" s="79"/>
      <c r="CF13" s="79"/>
      <c r="CG13" s="79"/>
      <c r="CH13" s="79"/>
      <c r="CI13" s="79"/>
      <c r="CJ13" s="79"/>
      <c r="CK13" s="79"/>
      <c r="CL13" s="377"/>
      <c r="CM13" s="79"/>
      <c r="CN13" s="79"/>
      <c r="CO13" s="79">
        <f>SUM(CO9:CO12)</f>
        <v>1580160</v>
      </c>
      <c r="CP13" s="76"/>
      <c r="CQ13" s="69"/>
    </row>
    <row r="14" spans="1:97" s="70" customFormat="1" ht="25" customHeight="1" x14ac:dyDescent="0.25">
      <c r="B14" s="83"/>
      <c r="H14" s="90"/>
      <c r="I14" s="165"/>
      <c r="J14" s="90"/>
      <c r="K14" s="165"/>
      <c r="L14" s="90"/>
      <c r="M14" s="90"/>
      <c r="N14" s="90"/>
      <c r="O14" s="90"/>
      <c r="P14" s="90"/>
      <c r="Q14" s="90"/>
      <c r="R14" s="90"/>
      <c r="S14" s="90"/>
      <c r="T14" s="90"/>
      <c r="U14" s="90"/>
      <c r="V14" s="90"/>
      <c r="W14" s="90"/>
      <c r="X14" s="90"/>
      <c r="Y14" s="165"/>
      <c r="Z14" s="165"/>
      <c r="AA14" s="165"/>
      <c r="AB14" s="165"/>
      <c r="AC14" s="165"/>
      <c r="AD14" s="165"/>
      <c r="AE14" s="165"/>
      <c r="AF14" s="165"/>
      <c r="AG14" s="165"/>
      <c r="AH14" s="165"/>
      <c r="AI14" s="165"/>
      <c r="AJ14" s="71"/>
      <c r="AK14" s="71"/>
      <c r="AL14" s="72"/>
      <c r="AM14" s="204"/>
      <c r="AN14" s="69"/>
      <c r="AO14" s="72"/>
      <c r="AP14" s="72"/>
      <c r="AQ14" s="72"/>
      <c r="AR14" s="71"/>
      <c r="AS14" s="71"/>
      <c r="AT14" s="71"/>
      <c r="AU14" s="71"/>
      <c r="AV14" s="71"/>
      <c r="AW14" s="71"/>
      <c r="AX14" s="71"/>
      <c r="AY14" s="71"/>
      <c r="AZ14" s="71"/>
      <c r="BA14" s="71"/>
      <c r="BB14" s="71"/>
      <c r="BJ14" s="71"/>
      <c r="BK14" s="66"/>
      <c r="BL14" s="71"/>
      <c r="BM14" s="66"/>
      <c r="BN14" s="71"/>
      <c r="BO14" s="71"/>
      <c r="BP14" s="88"/>
      <c r="BQ14" s="71"/>
      <c r="BR14" s="71"/>
      <c r="BS14" s="71"/>
      <c r="BT14" s="71"/>
      <c r="BU14" s="71"/>
      <c r="BV14" s="71"/>
      <c r="BW14" s="71"/>
      <c r="BX14" s="71"/>
      <c r="BY14" s="71"/>
      <c r="BZ14" s="71"/>
      <c r="CA14" s="71"/>
      <c r="CB14" s="71"/>
      <c r="CC14" s="71"/>
      <c r="CD14" s="71"/>
      <c r="CE14" s="71"/>
      <c r="CF14" s="71"/>
      <c r="CG14" s="71"/>
      <c r="CH14" s="71"/>
      <c r="CI14" s="71"/>
      <c r="CJ14" s="71"/>
      <c r="CK14" s="71"/>
      <c r="CL14" s="71"/>
      <c r="CM14" s="378"/>
      <c r="CN14" s="71"/>
      <c r="CO14" s="71"/>
      <c r="CP14" s="71"/>
      <c r="CQ14" s="71"/>
      <c r="CR14" s="67"/>
      <c r="CS14" s="149"/>
    </row>
    <row r="15" spans="1:97" s="68" customFormat="1" ht="14.5" customHeight="1" x14ac:dyDescent="0.3">
      <c r="B15" s="69"/>
      <c r="C15" s="70"/>
      <c r="D15" s="70"/>
      <c r="E15" s="70"/>
      <c r="F15" s="70"/>
      <c r="G15" s="70"/>
      <c r="H15" s="65"/>
      <c r="I15" s="69"/>
      <c r="J15" s="65"/>
      <c r="K15" s="69"/>
      <c r="L15" s="65"/>
      <c r="M15" s="65"/>
      <c r="N15" s="65"/>
      <c r="O15" s="65"/>
      <c r="P15" s="65"/>
      <c r="Q15" s="65"/>
      <c r="R15" s="65"/>
      <c r="S15" s="65"/>
      <c r="T15" s="65"/>
      <c r="U15" s="65"/>
      <c r="V15" s="65"/>
      <c r="W15" s="65"/>
      <c r="X15" s="65"/>
      <c r="Y15" s="69"/>
      <c r="Z15" s="69"/>
      <c r="AA15" s="69"/>
      <c r="AB15" s="69"/>
      <c r="AC15" s="69"/>
      <c r="AD15" s="69"/>
      <c r="AE15" s="69"/>
      <c r="AF15" s="69"/>
      <c r="AG15" s="69"/>
      <c r="AH15" s="69"/>
      <c r="AI15" s="69"/>
      <c r="AJ15" s="71"/>
      <c r="AK15" s="71"/>
      <c r="AL15" s="72"/>
      <c r="AM15" s="204"/>
      <c r="AN15" s="69"/>
      <c r="AO15" s="72"/>
      <c r="AP15" s="72"/>
      <c r="AQ15" s="72"/>
      <c r="AR15" s="71"/>
      <c r="AS15" s="71"/>
      <c r="AT15" s="71"/>
      <c r="AU15" s="71"/>
      <c r="AV15" s="71"/>
      <c r="AW15" s="71"/>
      <c r="AX15" s="66"/>
      <c r="AY15" s="71"/>
      <c r="AZ15" s="71"/>
      <c r="BA15" s="71"/>
      <c r="BB15" s="71"/>
      <c r="BC15" s="71"/>
      <c r="BD15" s="72"/>
      <c r="BE15" s="71"/>
      <c r="BF15" s="71"/>
      <c r="BG15" s="71"/>
      <c r="BH15" s="72"/>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378"/>
      <c r="CN15" s="71"/>
      <c r="CO15" s="71"/>
      <c r="CP15" s="71"/>
      <c r="CQ15" s="71"/>
      <c r="CR15" s="73"/>
      <c r="CS15" s="150"/>
    </row>
    <row r="16" spans="1:97" s="68" customFormat="1" ht="15.5" x14ac:dyDescent="0.35">
      <c r="B16" s="585" t="s">
        <v>24</v>
      </c>
      <c r="C16" s="585"/>
      <c r="D16" s="585"/>
      <c r="E16" s="585"/>
      <c r="F16" s="585"/>
      <c r="G16" s="585"/>
      <c r="H16" s="585"/>
      <c r="I16" s="586"/>
      <c r="J16" s="63"/>
      <c r="K16" s="587"/>
      <c r="L16" s="63"/>
      <c r="M16" s="587"/>
      <c r="N16" s="587"/>
      <c r="O16" s="587"/>
      <c r="P16" s="587"/>
      <c r="Q16" s="587"/>
      <c r="R16" s="587"/>
      <c r="S16" s="587"/>
      <c r="T16" s="587"/>
      <c r="U16" s="587"/>
      <c r="V16" s="587"/>
      <c r="W16" s="587"/>
      <c r="X16" s="587"/>
      <c r="Y16" s="587"/>
      <c r="Z16" s="63"/>
      <c r="AA16" s="63"/>
      <c r="AB16" s="63"/>
      <c r="AC16" s="63"/>
      <c r="AD16" s="63"/>
      <c r="AE16" s="63"/>
      <c r="AF16" s="63"/>
      <c r="AG16" s="63"/>
      <c r="AH16" s="63"/>
      <c r="AI16" s="63"/>
      <c r="AJ16" s="63"/>
      <c r="AK16" s="6"/>
      <c r="AL16" s="6"/>
      <c r="AM16" s="7"/>
      <c r="AN16" s="205"/>
      <c r="AO16" s="72"/>
      <c r="AP16" s="72"/>
      <c r="AQ16" s="72"/>
      <c r="AR16" s="71"/>
      <c r="AS16" s="71"/>
      <c r="AT16" s="71"/>
      <c r="AU16" s="71"/>
      <c r="AV16" s="71"/>
      <c r="AW16" s="71"/>
      <c r="AX16" s="66"/>
      <c r="AY16" s="71"/>
      <c r="AZ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378"/>
      <c r="CN16" s="71"/>
      <c r="CO16" s="71"/>
      <c r="CP16" s="71"/>
      <c r="CQ16" s="71"/>
      <c r="CR16" s="73"/>
      <c r="CS16" s="150"/>
    </row>
    <row r="17" spans="2:97" ht="15.5" x14ac:dyDescent="0.35">
      <c r="B17" s="585" t="s">
        <v>34</v>
      </c>
      <c r="C17" s="585"/>
      <c r="D17" s="585"/>
      <c r="E17" s="585"/>
      <c r="F17" s="585"/>
      <c r="G17" s="585"/>
      <c r="H17" s="585"/>
      <c r="I17" s="585"/>
      <c r="K17" s="4"/>
      <c r="Y17" s="4"/>
      <c r="Z17" s="4"/>
      <c r="AA17" s="4"/>
      <c r="AB17" s="4"/>
      <c r="AC17" s="4"/>
      <c r="AD17" s="4"/>
      <c r="AE17" s="4"/>
      <c r="AF17" s="4"/>
      <c r="AG17" s="4"/>
      <c r="AH17" s="4"/>
      <c r="AI17" s="4"/>
      <c r="AJ17" s="4"/>
      <c r="AK17" s="588"/>
      <c r="AL17" s="588"/>
      <c r="AM17" s="589"/>
      <c r="AN17" s="590"/>
      <c r="AS17" s="8"/>
      <c r="AT17" s="8"/>
      <c r="AU17" s="8"/>
      <c r="AV17" s="48"/>
      <c r="AW17" s="23"/>
      <c r="AX17" s="23"/>
      <c r="AY17" s="8"/>
      <c r="AZ17" s="8"/>
      <c r="BA17" s="1"/>
      <c r="BB17" s="1"/>
      <c r="BC17" s="1"/>
      <c r="BD17" s="1"/>
      <c r="BE17" s="1"/>
      <c r="BF17" s="1"/>
      <c r="BG17" s="1"/>
      <c r="BH17" s="1"/>
      <c r="BI17" s="1"/>
      <c r="BJ17" s="1"/>
      <c r="BK17" s="42"/>
      <c r="BL17" s="8"/>
      <c r="BM17" s="23"/>
      <c r="BN17" s="8"/>
      <c r="BO17" s="8"/>
      <c r="BP17" s="8"/>
      <c r="BQ17" s="49"/>
      <c r="BR17" s="8"/>
      <c r="BS17" s="23"/>
      <c r="BT17" s="23"/>
      <c r="BU17" s="23"/>
      <c r="BV17" s="23"/>
      <c r="BW17" s="23"/>
      <c r="BX17" s="23"/>
      <c r="BY17" s="23"/>
      <c r="BZ17" s="23"/>
      <c r="CA17" s="23"/>
      <c r="CB17" s="23"/>
      <c r="CC17" s="23"/>
      <c r="CD17" s="23"/>
      <c r="CE17" s="23"/>
      <c r="CF17" s="23"/>
      <c r="CG17" s="23"/>
      <c r="CH17" s="23"/>
      <c r="CI17" s="23"/>
      <c r="CJ17" s="8"/>
      <c r="CK17" s="8"/>
      <c r="CL17" s="44"/>
      <c r="CM17" s="44"/>
      <c r="CN17" s="44"/>
      <c r="CO17" s="8"/>
      <c r="CP17" s="8"/>
      <c r="CQ17" s="8"/>
      <c r="CS17" s="151"/>
    </row>
    <row r="18" spans="2:97" ht="15.5" x14ac:dyDescent="0.35">
      <c r="B18" s="585" t="s">
        <v>1145</v>
      </c>
      <c r="C18" s="585"/>
      <c r="D18" s="585"/>
      <c r="E18" s="585"/>
      <c r="F18" s="585"/>
      <c r="G18" s="585"/>
      <c r="H18" s="585"/>
      <c r="I18" s="586"/>
      <c r="J18" s="63"/>
      <c r="K18" s="587"/>
      <c r="L18" s="63"/>
      <c r="M18" s="587"/>
      <c r="N18" s="587"/>
      <c r="O18" s="587"/>
      <c r="P18" s="587"/>
      <c r="Q18" s="587"/>
      <c r="R18" s="587"/>
      <c r="S18" s="587"/>
      <c r="T18" s="587"/>
      <c r="U18" s="587"/>
      <c r="V18" s="587"/>
      <c r="W18" s="587"/>
      <c r="X18" s="587"/>
      <c r="Y18" s="587"/>
      <c r="Z18" s="63"/>
      <c r="AA18" s="63"/>
      <c r="AB18" s="63"/>
      <c r="AC18" s="63"/>
      <c r="AD18" s="63"/>
      <c r="AE18" s="63"/>
      <c r="AF18" s="63"/>
      <c r="AG18" s="63"/>
      <c r="AH18" s="63"/>
      <c r="AI18" s="63"/>
      <c r="AJ18" s="63"/>
      <c r="AL18" s="6"/>
      <c r="AM18" s="7"/>
      <c r="AN18" s="205"/>
      <c r="AS18" s="8"/>
      <c r="AT18" s="8"/>
      <c r="AU18" s="8"/>
      <c r="AV18" s="8"/>
      <c r="AW18" s="23"/>
      <c r="AX18" s="23"/>
      <c r="AY18" s="8"/>
      <c r="AZ18" s="8"/>
      <c r="BA18" s="1"/>
      <c r="BB18" s="1"/>
      <c r="BC18" s="1"/>
      <c r="BD18" s="1"/>
      <c r="BE18" s="1"/>
      <c r="BF18" s="1"/>
      <c r="BG18" s="1"/>
      <c r="BH18" s="1"/>
      <c r="BI18" s="1"/>
      <c r="BJ18" s="1"/>
      <c r="BK18" s="8"/>
      <c r="BL18" s="42"/>
      <c r="BM18" s="8"/>
      <c r="BN18" s="23"/>
      <c r="BO18" s="8"/>
      <c r="BP18" s="8"/>
      <c r="BQ18" s="49"/>
      <c r="BR18" s="8"/>
      <c r="BS18" s="23"/>
      <c r="BT18" s="23"/>
      <c r="BU18" s="23"/>
      <c r="BV18" s="23"/>
      <c r="BW18" s="23"/>
      <c r="BX18" s="23"/>
      <c r="BY18" s="23"/>
      <c r="BZ18" s="23"/>
      <c r="CA18" s="23"/>
      <c r="CB18" s="23"/>
      <c r="CC18" s="23"/>
      <c r="CD18" s="23"/>
      <c r="CE18" s="23"/>
      <c r="CF18" s="23"/>
      <c r="CG18" s="23"/>
      <c r="CH18" s="23"/>
      <c r="CI18" s="23"/>
      <c r="CJ18" s="8"/>
      <c r="CK18" s="8"/>
      <c r="CL18" s="44"/>
      <c r="CM18" s="44"/>
      <c r="CN18" s="44"/>
      <c r="CO18" s="8"/>
      <c r="CP18" s="8"/>
      <c r="CQ18" s="8"/>
      <c r="CS18" s="151"/>
    </row>
    <row r="19" spans="2:97" ht="15.5" x14ac:dyDescent="0.35">
      <c r="B19" s="585" t="s">
        <v>35</v>
      </c>
      <c r="C19" s="585"/>
      <c r="D19" s="585"/>
      <c r="E19" s="585"/>
      <c r="F19" s="585"/>
      <c r="G19" s="585"/>
      <c r="H19" s="585"/>
      <c r="I19" s="586"/>
      <c r="J19" s="63"/>
      <c r="K19" s="587"/>
      <c r="L19" s="63"/>
      <c r="M19" s="587"/>
      <c r="N19" s="587"/>
      <c r="O19" s="587"/>
      <c r="P19" s="587"/>
      <c r="Q19" s="587"/>
      <c r="R19" s="587"/>
      <c r="S19" s="587"/>
      <c r="T19" s="587"/>
      <c r="U19" s="587"/>
      <c r="V19" s="587"/>
      <c r="W19" s="587"/>
      <c r="X19" s="587"/>
      <c r="Y19" s="587"/>
      <c r="Z19" s="63"/>
      <c r="AA19" s="63"/>
      <c r="AB19" s="63"/>
      <c r="AC19" s="63"/>
      <c r="AD19" s="63"/>
      <c r="AE19" s="63"/>
      <c r="AF19" s="63"/>
      <c r="AG19" s="63"/>
      <c r="AH19" s="63"/>
      <c r="AI19" s="63"/>
      <c r="AJ19" s="63"/>
      <c r="AL19" s="6"/>
      <c r="AM19" s="7"/>
      <c r="AN19" s="205"/>
      <c r="AS19" s="8"/>
      <c r="AT19" s="8"/>
      <c r="AU19" s="8"/>
      <c r="AV19" s="8"/>
      <c r="AW19" s="23"/>
      <c r="AX19" s="23"/>
      <c r="AY19" s="8"/>
      <c r="AZ19" s="8"/>
      <c r="BA19" s="1"/>
      <c r="BB19" s="1"/>
      <c r="BC19" s="1"/>
      <c r="BD19" s="1"/>
      <c r="BE19" s="1"/>
      <c r="BF19" s="1"/>
      <c r="BG19" s="1"/>
      <c r="BH19" s="1"/>
      <c r="BI19" s="1"/>
      <c r="BJ19" s="1"/>
      <c r="BK19" s="8"/>
      <c r="BL19" s="42"/>
      <c r="BM19" s="8"/>
      <c r="BN19" s="23"/>
      <c r="BO19" s="8"/>
      <c r="BP19" s="8"/>
      <c r="BQ19" s="49"/>
      <c r="BR19" s="8"/>
      <c r="BS19" s="23"/>
      <c r="BT19" s="23"/>
      <c r="BU19" s="23"/>
      <c r="BV19" s="23"/>
      <c r="BW19" s="23"/>
      <c r="BX19" s="23"/>
      <c r="BY19" s="23"/>
      <c r="BZ19" s="23"/>
      <c r="CA19" s="23"/>
      <c r="CB19" s="23"/>
      <c r="CC19" s="23"/>
      <c r="CD19" s="23"/>
      <c r="CE19" s="23"/>
      <c r="CF19" s="23"/>
      <c r="CG19" s="23"/>
      <c r="CH19" s="23"/>
      <c r="CI19" s="23"/>
      <c r="CJ19" s="8"/>
      <c r="CK19" s="8"/>
      <c r="CL19" s="44"/>
      <c r="CM19" s="44"/>
      <c r="CN19" s="44"/>
      <c r="CO19" s="8"/>
      <c r="CP19" s="8"/>
      <c r="CQ19" s="8"/>
      <c r="CS19" s="151"/>
    </row>
    <row r="20" spans="2:97" ht="15.5" x14ac:dyDescent="0.35">
      <c r="B20" s="591" t="s">
        <v>801</v>
      </c>
      <c r="C20" s="591"/>
      <c r="D20" s="591"/>
      <c r="E20" s="585"/>
      <c r="F20" s="585"/>
      <c r="G20" s="585"/>
      <c r="H20" s="585"/>
      <c r="I20" s="586"/>
      <c r="J20" s="63"/>
      <c r="K20" s="587"/>
      <c r="L20" s="63"/>
      <c r="M20" s="587"/>
      <c r="N20" s="587"/>
      <c r="O20" s="587"/>
      <c r="P20" s="587"/>
      <c r="Q20" s="587"/>
      <c r="R20" s="587"/>
      <c r="S20" s="587"/>
      <c r="T20" s="587"/>
      <c r="U20" s="587"/>
      <c r="V20" s="587"/>
      <c r="W20" s="587"/>
      <c r="X20" s="587"/>
      <c r="Y20" s="587"/>
      <c r="Z20" s="63"/>
      <c r="AA20" s="63"/>
      <c r="AB20" s="63"/>
      <c r="AC20" s="63"/>
      <c r="AD20" s="63"/>
      <c r="AE20" s="63"/>
      <c r="AF20" s="63"/>
      <c r="AG20" s="63"/>
      <c r="AH20" s="63"/>
      <c r="AI20" s="63"/>
      <c r="AJ20" s="63"/>
      <c r="AL20" s="6"/>
      <c r="AM20" s="7"/>
      <c r="AN20" s="205"/>
      <c r="AS20" s="8"/>
      <c r="AU20" s="8"/>
      <c r="AZ20" s="6"/>
      <c r="BA20" s="1"/>
      <c r="BB20" s="1"/>
      <c r="BC20" s="1"/>
      <c r="BD20" s="1"/>
      <c r="BE20" s="1"/>
      <c r="BF20" s="1"/>
      <c r="BG20" s="1"/>
      <c r="BH20" s="1"/>
      <c r="BI20" s="1"/>
      <c r="BJ20" s="1"/>
      <c r="BL20" s="22"/>
      <c r="BM20" s="6"/>
      <c r="BN20" s="22"/>
      <c r="BO20" s="6"/>
      <c r="BP20" s="6"/>
      <c r="BR20" s="6"/>
      <c r="BS20" s="22"/>
      <c r="CS20" s="151"/>
    </row>
    <row r="21" spans="2:97" ht="15.5" x14ac:dyDescent="0.3">
      <c r="B21" s="743" t="s">
        <v>1146</v>
      </c>
      <c r="C21" s="743"/>
      <c r="D21" s="743"/>
      <c r="E21" s="592"/>
      <c r="F21" s="592"/>
      <c r="G21" s="592"/>
      <c r="H21" s="592"/>
      <c r="I21" s="586"/>
      <c r="J21" s="9"/>
      <c r="K21" s="4"/>
      <c r="L21" s="9"/>
      <c r="Y21" s="4"/>
      <c r="AJ21" s="9"/>
      <c r="AL21" s="6"/>
      <c r="AM21" s="7"/>
      <c r="AN21" s="205"/>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50"/>
      <c r="BR21" s="1"/>
      <c r="BS21" s="1"/>
      <c r="BT21" s="1"/>
      <c r="BU21" s="1"/>
      <c r="BV21" s="1"/>
      <c r="BW21" s="1"/>
      <c r="BX21" s="1"/>
      <c r="BY21" s="1"/>
      <c r="BZ21" s="1"/>
      <c r="CA21" s="1"/>
      <c r="CB21" s="1"/>
      <c r="CC21" s="1"/>
      <c r="CD21" s="1"/>
      <c r="CE21" s="1"/>
      <c r="CF21" s="1"/>
      <c r="CG21" s="1"/>
      <c r="CH21" s="1"/>
      <c r="CI21" s="1"/>
      <c r="CJ21" s="1"/>
      <c r="CK21" s="1"/>
      <c r="CL21" s="45"/>
      <c r="CM21" s="45"/>
      <c r="CN21" s="45"/>
      <c r="CO21" s="1"/>
      <c r="CP21" s="1"/>
      <c r="CQ21" s="1"/>
      <c r="CS21" s="151"/>
    </row>
  </sheetData>
  <sortState xmlns:xlrd2="http://schemas.microsoft.com/office/spreadsheetml/2017/richdata2" ref="A9:CS11">
    <sortCondition descending="1" ref="B9:B11"/>
    <sortCondition descending="1" ref="BA9:BA11"/>
  </sortState>
  <mergeCells count="11">
    <mergeCell ref="B21:D21"/>
    <mergeCell ref="B2:CQ2"/>
    <mergeCell ref="BE4:BL4"/>
    <mergeCell ref="CG5:CN5"/>
    <mergeCell ref="AJ7:AK7"/>
    <mergeCell ref="AM7:AP7"/>
    <mergeCell ref="AR7:AV7"/>
    <mergeCell ref="BC7:BL7"/>
    <mergeCell ref="BQ7:BS7"/>
    <mergeCell ref="BT7:BY7"/>
    <mergeCell ref="CB7:CF7"/>
  </mergeCells>
  <printOptions horizontalCentered="1"/>
  <pageMargins left="0.5" right="0.5" top="0.75" bottom="0.75" header="0.5" footer="0.5"/>
  <pageSetup paperSize="5" scale="50" fitToHeight="0" orientation="landscape" r:id="rId1"/>
  <headerFooter alignWithMargins="0">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9809-2F0B-4954-8490-B4BC8E08B36F}">
  <sheetPr>
    <tabColor rgb="FF0070C0"/>
  </sheetPr>
  <dimension ref="B2:Y10"/>
  <sheetViews>
    <sheetView zoomScale="120" zoomScaleNormal="120" workbookViewId="0">
      <selection activeCell="D3" sqref="D3:D4"/>
    </sheetView>
  </sheetViews>
  <sheetFormatPr defaultColWidth="8.81640625" defaultRowHeight="15.5" x14ac:dyDescent="0.35"/>
  <cols>
    <col min="1" max="1" width="8.81640625" style="561"/>
    <col min="2" max="2" width="7.81640625" style="561" customWidth="1"/>
    <col min="3" max="3" width="33.81640625" style="569" customWidth="1"/>
    <col min="4" max="4" width="65.26953125" style="561" customWidth="1"/>
    <col min="5" max="5" width="20.26953125" style="561" customWidth="1"/>
    <col min="6" max="7" width="9.81640625" style="561" customWidth="1"/>
    <col min="8" max="8" width="11.26953125" style="561" bestFit="1" customWidth="1"/>
    <col min="9" max="9" width="17.1796875" style="561" customWidth="1"/>
    <col min="10" max="10" width="12.7265625" style="561" bestFit="1" customWidth="1"/>
    <col min="11" max="11" width="11.81640625" style="561" bestFit="1" customWidth="1"/>
    <col min="12" max="12" width="9.26953125" style="598" customWidth="1"/>
    <col min="13" max="13" width="11" style="561" bestFit="1" customWidth="1"/>
    <col min="14" max="14" width="9" style="561" customWidth="1"/>
    <col min="15" max="15" width="16.7265625" style="561" customWidth="1"/>
    <col min="16" max="16" width="12.7265625" style="561" customWidth="1"/>
    <col min="17" max="17" width="12.26953125" style="561" customWidth="1"/>
    <col min="18" max="18" width="12.7265625" style="561" customWidth="1"/>
    <col min="19" max="19" width="18" style="561" customWidth="1"/>
    <col min="20" max="20" width="17.26953125" style="561" bestFit="1" customWidth="1"/>
    <col min="21" max="21" width="21.26953125" style="561" customWidth="1"/>
    <col min="22" max="22" width="19.453125" style="561" customWidth="1"/>
    <col min="23" max="23" width="20.26953125" style="561" customWidth="1"/>
    <col min="24" max="24" width="8.81640625" style="561"/>
    <col min="25" max="25" width="14.7265625" style="561" customWidth="1"/>
    <col min="26" max="16384" width="8.81640625" style="561"/>
  </cols>
  <sheetData>
    <row r="2" spans="2:25" ht="28" x14ac:dyDescent="0.35">
      <c r="C2" s="747" t="s">
        <v>1165</v>
      </c>
      <c r="D2" s="747"/>
      <c r="E2" s="747"/>
      <c r="F2" s="747"/>
      <c r="G2" s="747"/>
      <c r="H2" s="747"/>
      <c r="I2" s="747"/>
      <c r="J2" s="747"/>
      <c r="K2" s="747"/>
      <c r="L2" s="747"/>
      <c r="M2" s="747"/>
      <c r="N2" s="747"/>
      <c r="O2" s="747"/>
      <c r="P2" s="747"/>
      <c r="Q2" s="747"/>
      <c r="R2" s="747"/>
      <c r="S2" s="747"/>
      <c r="T2" s="747"/>
      <c r="U2" s="747"/>
      <c r="V2" s="747"/>
      <c r="W2" s="747"/>
      <c r="X2" s="747"/>
      <c r="Y2" s="747"/>
    </row>
    <row r="3" spans="2:25" ht="26.5" customHeight="1" x14ac:dyDescent="0.35">
      <c r="B3" s="745" t="s">
        <v>0</v>
      </c>
      <c r="C3" s="748" t="s">
        <v>1153</v>
      </c>
      <c r="D3" s="745" t="s">
        <v>1151</v>
      </c>
      <c r="E3" s="594"/>
      <c r="F3" s="750" t="s">
        <v>1234</v>
      </c>
      <c r="G3" s="751"/>
      <c r="H3" s="751"/>
      <c r="I3" s="751"/>
      <c r="J3" s="751"/>
      <c r="K3" s="751"/>
      <c r="L3" s="751"/>
      <c r="M3" s="751"/>
      <c r="N3" s="751"/>
      <c r="O3" s="752"/>
      <c r="P3" s="745" t="s">
        <v>1155</v>
      </c>
      <c r="Q3" s="745" t="s">
        <v>1156</v>
      </c>
      <c r="R3" s="745" t="s">
        <v>1154</v>
      </c>
      <c r="S3" s="745" t="s">
        <v>1147</v>
      </c>
      <c r="T3" s="745" t="s">
        <v>1148</v>
      </c>
      <c r="U3" s="750" t="s">
        <v>1149</v>
      </c>
      <c r="V3" s="751"/>
      <c r="W3" s="752"/>
      <c r="X3" s="745" t="s">
        <v>1158</v>
      </c>
      <c r="Y3" s="745" t="s">
        <v>1159</v>
      </c>
    </row>
    <row r="4" spans="2:25" ht="66.650000000000006" customHeight="1" x14ac:dyDescent="0.35">
      <c r="B4" s="746"/>
      <c r="C4" s="749"/>
      <c r="D4" s="746"/>
      <c r="E4" s="593" t="s">
        <v>367</v>
      </c>
      <c r="F4" s="394" t="s">
        <v>351</v>
      </c>
      <c r="G4" s="394" t="s">
        <v>1253</v>
      </c>
      <c r="H4" s="395" t="s">
        <v>352</v>
      </c>
      <c r="I4" s="395" t="s">
        <v>354</v>
      </c>
      <c r="J4" s="395" t="s">
        <v>355</v>
      </c>
      <c r="K4" s="395" t="s">
        <v>356</v>
      </c>
      <c r="L4" s="394" t="s">
        <v>1227</v>
      </c>
      <c r="M4" s="393" t="s">
        <v>1228</v>
      </c>
      <c r="N4" s="394" t="s">
        <v>1229</v>
      </c>
      <c r="O4" s="397" t="s">
        <v>366</v>
      </c>
      <c r="P4" s="746"/>
      <c r="Q4" s="746"/>
      <c r="R4" s="746"/>
      <c r="S4" s="746"/>
      <c r="T4" s="746"/>
      <c r="U4" s="560" t="s">
        <v>1152</v>
      </c>
      <c r="V4" s="560" t="s">
        <v>1150</v>
      </c>
      <c r="W4" s="560" t="s">
        <v>1157</v>
      </c>
      <c r="X4" s="746"/>
      <c r="Y4" s="746"/>
    </row>
    <row r="5" spans="2:25" s="562" customFormat="1" ht="63" customHeight="1" x14ac:dyDescent="0.35">
      <c r="B5" s="572">
        <v>1</v>
      </c>
      <c r="C5" s="572" t="s">
        <v>1260</v>
      </c>
      <c r="D5" s="564" t="s">
        <v>1161</v>
      </c>
      <c r="E5" s="595" t="s">
        <v>1263</v>
      </c>
      <c r="F5" s="12" t="s">
        <v>1232</v>
      </c>
      <c r="G5" s="12" t="s">
        <v>1254</v>
      </c>
      <c r="H5" s="161"/>
      <c r="I5" s="160">
        <v>45659</v>
      </c>
      <c r="J5" s="12"/>
      <c r="K5" s="12"/>
      <c r="L5" s="161"/>
      <c r="M5" s="12"/>
      <c r="N5" s="12"/>
      <c r="O5" s="12"/>
      <c r="P5" s="565">
        <v>25000</v>
      </c>
      <c r="Q5" s="565">
        <v>16000</v>
      </c>
      <c r="R5" s="565">
        <f>+P5-Q5</f>
        <v>9000</v>
      </c>
      <c r="S5" s="564">
        <v>8</v>
      </c>
      <c r="T5" s="564">
        <v>25</v>
      </c>
      <c r="U5" s="564">
        <v>25</v>
      </c>
      <c r="V5" s="564">
        <v>15</v>
      </c>
      <c r="W5" s="564">
        <v>10</v>
      </c>
      <c r="X5" s="571">
        <f>+W5+V5+U5+T5+S5</f>
        <v>83</v>
      </c>
      <c r="Y5" s="573">
        <v>9000</v>
      </c>
    </row>
    <row r="6" spans="2:25" ht="61.9" customHeight="1" x14ac:dyDescent="0.35">
      <c r="B6" s="572">
        <v>2</v>
      </c>
      <c r="C6" s="570" t="s">
        <v>1260</v>
      </c>
      <c r="D6" s="564" t="s">
        <v>1163</v>
      </c>
      <c r="E6" s="595" t="s">
        <v>1259</v>
      </c>
      <c r="F6" s="12" t="s">
        <v>1232</v>
      </c>
      <c r="G6" s="12" t="s">
        <v>1255</v>
      </c>
      <c r="H6" s="465">
        <v>45561</v>
      </c>
      <c r="I6" s="160">
        <v>45565</v>
      </c>
      <c r="J6" s="12"/>
      <c r="K6" s="12"/>
      <c r="L6" s="161"/>
      <c r="M6" s="12"/>
      <c r="N6" s="12"/>
      <c r="O6" s="12"/>
      <c r="P6" s="565">
        <v>98472</v>
      </c>
      <c r="Q6" s="565">
        <v>49236</v>
      </c>
      <c r="R6" s="565">
        <f>+P6-Q6</f>
        <v>49236</v>
      </c>
      <c r="S6" s="564">
        <v>3</v>
      </c>
      <c r="T6" s="564">
        <v>25</v>
      </c>
      <c r="U6" s="564">
        <v>25</v>
      </c>
      <c r="V6" s="564">
        <v>7</v>
      </c>
      <c r="W6" s="564">
        <v>10</v>
      </c>
      <c r="X6" s="571">
        <f>+W6+V6+U6+T6+S6</f>
        <v>70</v>
      </c>
      <c r="Y6" s="575">
        <f>+R6</f>
        <v>49236</v>
      </c>
    </row>
    <row r="7" spans="2:25" s="562" customFormat="1" ht="49.15" customHeight="1" x14ac:dyDescent="0.35">
      <c r="B7" s="567">
        <v>3</v>
      </c>
      <c r="C7" s="568" t="s">
        <v>1162</v>
      </c>
      <c r="D7" s="564" t="s">
        <v>1164</v>
      </c>
      <c r="E7" s="595" t="s">
        <v>1236</v>
      </c>
      <c r="F7" s="12" t="s">
        <v>1225</v>
      </c>
      <c r="G7" s="12" t="s">
        <v>1256</v>
      </c>
      <c r="H7" s="465">
        <v>45555</v>
      </c>
      <c r="I7" s="160">
        <v>45565</v>
      </c>
      <c r="J7" s="12"/>
      <c r="K7" s="12"/>
      <c r="L7" s="161" t="s">
        <v>1258</v>
      </c>
      <c r="M7" s="12"/>
      <c r="N7" s="12"/>
      <c r="O7" s="12"/>
      <c r="P7" s="565">
        <v>73793</v>
      </c>
      <c r="Q7" s="565">
        <v>40081</v>
      </c>
      <c r="R7" s="565">
        <f>+P7-Q7</f>
        <v>33712</v>
      </c>
      <c r="S7" s="563">
        <v>2</v>
      </c>
      <c r="T7" s="563">
        <v>15</v>
      </c>
      <c r="U7" s="563">
        <v>25</v>
      </c>
      <c r="V7" s="563">
        <v>15</v>
      </c>
      <c r="W7" s="563">
        <v>10</v>
      </c>
      <c r="X7" s="566">
        <f>+W7+V7+U7+T7+S7</f>
        <v>67</v>
      </c>
      <c r="Y7" s="575">
        <f>+R7</f>
        <v>33712</v>
      </c>
    </row>
    <row r="8" spans="2:25" ht="127.15" customHeight="1" x14ac:dyDescent="0.35">
      <c r="B8" s="567">
        <v>4</v>
      </c>
      <c r="C8" s="567" t="s">
        <v>1160</v>
      </c>
      <c r="D8" s="564" t="s">
        <v>1166</v>
      </c>
      <c r="E8" s="595" t="s">
        <v>1235</v>
      </c>
      <c r="F8" s="12" t="s">
        <v>1231</v>
      </c>
      <c r="G8" s="12" t="s">
        <v>1257</v>
      </c>
      <c r="H8" s="465">
        <v>45555</v>
      </c>
      <c r="I8" s="160">
        <v>45565</v>
      </c>
      <c r="J8" s="12"/>
      <c r="K8" s="12"/>
      <c r="L8" s="161"/>
      <c r="M8" s="12"/>
      <c r="N8" s="12"/>
      <c r="O8" s="12"/>
      <c r="P8" s="565">
        <v>70000</v>
      </c>
      <c r="Q8" s="565">
        <v>35000</v>
      </c>
      <c r="R8" s="565">
        <f>+P8-Q8</f>
        <v>35000</v>
      </c>
      <c r="S8" s="563">
        <v>0</v>
      </c>
      <c r="T8" s="563">
        <v>13</v>
      </c>
      <c r="U8" s="563">
        <v>25</v>
      </c>
      <c r="V8" s="563">
        <v>15</v>
      </c>
      <c r="W8" s="563">
        <v>10</v>
      </c>
      <c r="X8" s="566">
        <f>+W8+V8+U8+T8+S8</f>
        <v>63</v>
      </c>
      <c r="Y8" s="574">
        <f>+R8</f>
        <v>35000</v>
      </c>
    </row>
    <row r="9" spans="2:25" ht="9.65" customHeight="1" x14ac:dyDescent="0.35">
      <c r="B9" s="577"/>
      <c r="C9" s="576"/>
      <c r="D9" s="577"/>
      <c r="E9" s="577"/>
      <c r="F9" s="577"/>
      <c r="G9" s="577"/>
      <c r="H9" s="577"/>
      <c r="I9" s="577"/>
      <c r="J9" s="577"/>
      <c r="K9" s="577"/>
      <c r="L9" s="596"/>
      <c r="M9" s="577"/>
      <c r="N9" s="577"/>
      <c r="O9" s="577"/>
      <c r="P9" s="578"/>
      <c r="Q9" s="578"/>
      <c r="R9" s="578"/>
      <c r="S9" s="579"/>
      <c r="T9" s="579"/>
      <c r="U9" s="579"/>
      <c r="V9" s="579"/>
      <c r="W9" s="579"/>
      <c r="X9" s="580"/>
      <c r="Y9" s="577"/>
    </row>
    <row r="10" spans="2:25" x14ac:dyDescent="0.35">
      <c r="B10" s="582"/>
      <c r="C10" s="583"/>
      <c r="D10" s="584" t="s">
        <v>368</v>
      </c>
      <c r="E10" s="584"/>
      <c r="F10" s="584"/>
      <c r="G10" s="584"/>
      <c r="H10" s="584"/>
      <c r="I10" s="584"/>
      <c r="J10" s="584"/>
      <c r="K10" s="584"/>
      <c r="L10" s="597"/>
      <c r="M10" s="584"/>
      <c r="N10" s="584"/>
      <c r="O10" s="584"/>
      <c r="P10" s="574">
        <f t="shared" ref="P10:R10" si="0">SUM(P5:P8)</f>
        <v>267265</v>
      </c>
      <c r="Q10" s="574">
        <f t="shared" si="0"/>
        <v>140317</v>
      </c>
      <c r="R10" s="574">
        <f t="shared" si="0"/>
        <v>126948</v>
      </c>
      <c r="S10" s="581"/>
      <c r="T10" s="581"/>
      <c r="U10" s="581"/>
      <c r="V10" s="581"/>
      <c r="W10" s="581"/>
      <c r="X10" s="581"/>
      <c r="Y10" s="574">
        <f>SUM(Y5:Y8)</f>
        <v>126948</v>
      </c>
    </row>
  </sheetData>
  <sortState xmlns:xlrd2="http://schemas.microsoft.com/office/spreadsheetml/2017/richdata2" ref="B5:Y8">
    <sortCondition descending="1" ref="X5:X8"/>
  </sortState>
  <mergeCells count="13">
    <mergeCell ref="B3:B4"/>
    <mergeCell ref="R3:R4"/>
    <mergeCell ref="P3:P4"/>
    <mergeCell ref="Q3:Q4"/>
    <mergeCell ref="U3:W3"/>
    <mergeCell ref="X3:X4"/>
    <mergeCell ref="Y3:Y4"/>
    <mergeCell ref="C2:Y2"/>
    <mergeCell ref="S3:S4"/>
    <mergeCell ref="T3:T4"/>
    <mergeCell ref="C3:C4"/>
    <mergeCell ref="D3:D4"/>
    <mergeCell ref="F3:O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B94E-5283-4AA2-9D01-878123B1CA44}">
  <sheetPr>
    <tabColor rgb="FF00B050"/>
    <pageSetUpPr fitToPage="1"/>
  </sheetPr>
  <dimension ref="A1:W205"/>
  <sheetViews>
    <sheetView topLeftCell="B4" zoomScale="90" zoomScaleNormal="90" workbookViewId="0">
      <pane xSplit="1" ySplit="7" topLeftCell="C11" activePane="bottomRight" state="frozen"/>
      <selection activeCell="B4" sqref="B4"/>
      <selection pane="topRight" activeCell="C4" sqref="C4"/>
      <selection pane="bottomLeft" activeCell="B11" sqref="B11"/>
      <selection pane="bottomRight" activeCell="H173" activeCellId="38" sqref="H11:H12 H14 H19:H20 H22 H24 H28 H30 H38 H41:H42 H47 H58 H61:H62 H72:H73 H75 H84:H85 H88 H92:H93 H95 H97:H98 H102 H104:H105 H111 H114 H116 H118 H120 H125 H128 H132 H134 H136:H137 H144 H146:H148 H150 H156 H164 H168:H169 H171 H173"/>
    </sheetView>
  </sheetViews>
  <sheetFormatPr defaultColWidth="9.26953125" defaultRowHeight="14.5" x14ac:dyDescent="0.35"/>
  <cols>
    <col min="1" max="1" width="4.54296875" style="208" hidden="1" customWidth="1"/>
    <col min="2" max="2" width="36.26953125" style="209" customWidth="1"/>
    <col min="3" max="3" width="14" style="210" customWidth="1"/>
    <col min="4" max="4" width="11" style="211" customWidth="1"/>
    <col min="5" max="5" width="13" style="212" customWidth="1"/>
    <col min="6" max="6" width="11.26953125" style="211" customWidth="1"/>
    <col min="7" max="7" width="10.26953125" style="210" customWidth="1"/>
    <col min="8" max="8" width="10.7265625" style="211" customWidth="1"/>
    <col min="9" max="11" width="11.54296875" style="213" customWidth="1"/>
    <col min="12" max="12" width="11.7265625" style="214" customWidth="1"/>
    <col min="13" max="13" width="13.7265625" style="215" customWidth="1"/>
    <col min="14" max="14" width="12.7265625" style="211" customWidth="1"/>
    <col min="15" max="15" width="9.26953125" style="211"/>
    <col min="16" max="16" width="9" style="212" customWidth="1"/>
    <col min="17" max="17" width="9.26953125" style="310"/>
    <col min="18" max="18" width="11" style="211" customWidth="1"/>
    <col min="19" max="20" width="10.26953125" style="209" customWidth="1"/>
    <col min="21" max="21" width="12.453125" style="209" customWidth="1"/>
    <col min="22" max="22" width="10" style="209" customWidth="1"/>
    <col min="23" max="23" width="43.26953125" style="209" customWidth="1"/>
    <col min="24" max="16384" width="9.26953125" style="209"/>
  </cols>
  <sheetData>
    <row r="1" spans="1:22" ht="30" hidden="1" customHeight="1" x14ac:dyDescent="0.35">
      <c r="B1" s="753" t="s">
        <v>40</v>
      </c>
      <c r="C1" s="753"/>
      <c r="D1" s="753"/>
      <c r="E1" s="753"/>
      <c r="F1" s="753"/>
      <c r="G1" s="753"/>
      <c r="H1" s="753"/>
      <c r="I1" s="753"/>
      <c r="J1" s="753"/>
      <c r="K1" s="753"/>
      <c r="L1" s="753"/>
      <c r="M1" s="753"/>
      <c r="N1" s="753"/>
      <c r="O1" s="753"/>
      <c r="P1" s="753"/>
      <c r="Q1" s="753"/>
      <c r="R1" s="753"/>
      <c r="S1" s="753"/>
      <c r="T1" s="753"/>
      <c r="U1" s="753"/>
    </row>
    <row r="2" spans="1:22" ht="42.75" hidden="1" customHeight="1" x14ac:dyDescent="0.35">
      <c r="B2" s="754" t="s">
        <v>41</v>
      </c>
      <c r="C2" s="754"/>
      <c r="D2" s="754"/>
      <c r="E2" s="754"/>
      <c r="F2" s="754"/>
      <c r="G2" s="754"/>
      <c r="H2" s="754"/>
      <c r="I2" s="754"/>
      <c r="J2" s="754"/>
      <c r="K2" s="754"/>
      <c r="L2" s="754"/>
      <c r="M2" s="754"/>
      <c r="N2" s="754"/>
      <c r="O2" s="754"/>
      <c r="P2" s="754"/>
      <c r="Q2" s="754"/>
      <c r="R2" s="754"/>
      <c r="S2" s="754"/>
      <c r="T2" s="754"/>
      <c r="U2" s="754"/>
    </row>
    <row r="3" spans="1:22" hidden="1" x14ac:dyDescent="0.35">
      <c r="P3" s="209"/>
      <c r="Q3" s="209"/>
    </row>
    <row r="4" spans="1:22" ht="15.5" x14ac:dyDescent="0.35">
      <c r="B4" s="216" t="s">
        <v>244</v>
      </c>
      <c r="P4" s="209"/>
      <c r="Q4" s="209"/>
    </row>
    <row r="5" spans="1:22" x14ac:dyDescent="0.35">
      <c r="B5" s="209" t="s">
        <v>1029</v>
      </c>
      <c r="P5" s="209"/>
      <c r="Q5" s="209"/>
    </row>
    <row r="6" spans="1:22" x14ac:dyDescent="0.35">
      <c r="P6" s="209"/>
      <c r="Q6" s="209"/>
    </row>
    <row r="7" spans="1:22" ht="27.75" customHeight="1" x14ac:dyDescent="0.35">
      <c r="B7" s="217" t="s">
        <v>42</v>
      </c>
      <c r="C7" s="755" t="s">
        <v>43</v>
      </c>
      <c r="D7" s="756"/>
      <c r="E7" s="757" t="s">
        <v>44</v>
      </c>
      <c r="F7" s="758"/>
      <c r="G7" s="755" t="s">
        <v>45</v>
      </c>
      <c r="H7" s="756"/>
      <c r="I7" s="759" t="s">
        <v>46</v>
      </c>
      <c r="J7" s="760"/>
      <c r="K7" s="760"/>
      <c r="L7" s="760"/>
      <c r="M7" s="760"/>
      <c r="N7" s="759"/>
      <c r="O7" s="760"/>
      <c r="P7" s="760"/>
      <c r="Q7" s="760"/>
      <c r="R7" s="761" t="s">
        <v>47</v>
      </c>
      <c r="S7" s="762"/>
      <c r="T7" s="762"/>
      <c r="U7" s="763"/>
    </row>
    <row r="8" spans="1:22" s="219" customFormat="1" ht="15" customHeight="1" x14ac:dyDescent="0.35">
      <c r="A8" s="218"/>
      <c r="C8" s="765" t="s">
        <v>245</v>
      </c>
      <c r="D8" s="766"/>
      <c r="E8" s="767" t="s">
        <v>48</v>
      </c>
      <c r="F8" s="768"/>
      <c r="G8" s="769" t="s">
        <v>246</v>
      </c>
      <c r="H8" s="770"/>
      <c r="I8" s="771" t="s">
        <v>49</v>
      </c>
      <c r="J8" s="772"/>
      <c r="K8" s="772"/>
      <c r="L8" s="772"/>
      <c r="M8" s="772"/>
      <c r="N8" s="220"/>
      <c r="O8" s="772" t="s">
        <v>50</v>
      </c>
      <c r="P8" s="772"/>
      <c r="Q8" s="221"/>
      <c r="R8" s="773" t="s">
        <v>51</v>
      </c>
      <c r="S8" s="775" t="s">
        <v>247</v>
      </c>
      <c r="T8" s="775" t="s">
        <v>248</v>
      </c>
      <c r="U8" s="775" t="s">
        <v>370</v>
      </c>
    </row>
    <row r="9" spans="1:22" s="235" customFormat="1" ht="82.5" customHeight="1" x14ac:dyDescent="0.35">
      <c r="A9" s="222" t="s">
        <v>52</v>
      </c>
      <c r="B9" s="223" t="s">
        <v>53</v>
      </c>
      <c r="C9" s="224" t="s">
        <v>54</v>
      </c>
      <c r="D9" s="225" t="s">
        <v>55</v>
      </c>
      <c r="E9" s="226" t="s">
        <v>56</v>
      </c>
      <c r="F9" s="227" t="s">
        <v>57</v>
      </c>
      <c r="G9" s="224" t="s">
        <v>58</v>
      </c>
      <c r="H9" s="225" t="s">
        <v>55</v>
      </c>
      <c r="I9" s="228">
        <v>2012</v>
      </c>
      <c r="J9" s="229">
        <v>2022</v>
      </c>
      <c r="K9" s="230" t="s">
        <v>59</v>
      </c>
      <c r="L9" s="231" t="s">
        <v>60</v>
      </c>
      <c r="M9" s="225" t="s">
        <v>61</v>
      </c>
      <c r="N9" s="232" t="s">
        <v>62</v>
      </c>
      <c r="O9" s="233" t="s">
        <v>50</v>
      </c>
      <c r="P9" s="223" t="s">
        <v>63</v>
      </c>
      <c r="Q9" s="234" t="s">
        <v>64</v>
      </c>
      <c r="R9" s="774"/>
      <c r="S9" s="776"/>
      <c r="T9" s="776"/>
      <c r="U9" s="777"/>
    </row>
    <row r="10" spans="1:22" ht="15.5" x14ac:dyDescent="0.35">
      <c r="A10" s="236"/>
      <c r="B10" s="237" t="s">
        <v>65</v>
      </c>
      <c r="C10" s="238">
        <v>0.11</v>
      </c>
      <c r="D10" s="239"/>
      <c r="E10" s="240">
        <v>68251</v>
      </c>
      <c r="F10" s="241"/>
      <c r="G10" s="238">
        <v>2.7E-2</v>
      </c>
      <c r="H10" s="242"/>
      <c r="I10" s="243">
        <v>1327729</v>
      </c>
      <c r="J10" s="244">
        <v>1389338</v>
      </c>
      <c r="K10" s="245">
        <f>ROUND((J10-I10)/I10,4)</f>
        <v>4.6399999999999997E-2</v>
      </c>
      <c r="L10" s="246"/>
      <c r="M10" s="241"/>
      <c r="N10" s="247"/>
      <c r="O10" s="248"/>
      <c r="P10" s="249"/>
      <c r="Q10" s="247"/>
      <c r="R10" s="250"/>
      <c r="S10" s="251"/>
      <c r="T10" s="252"/>
      <c r="U10" s="253"/>
    </row>
    <row r="11" spans="1:22" s="216" customFormat="1" ht="15.5" x14ac:dyDescent="0.35">
      <c r="A11" s="208"/>
      <c r="B11" s="254" t="s">
        <v>66</v>
      </c>
      <c r="C11" s="255">
        <v>0.313</v>
      </c>
      <c r="D11" s="256">
        <f>C11/$C$10</f>
        <v>2.8454545454545452</v>
      </c>
      <c r="E11" s="173">
        <v>48712</v>
      </c>
      <c r="F11" s="257">
        <f>$E$10/E11</f>
        <v>1.4011126621776975</v>
      </c>
      <c r="G11" s="670">
        <v>0.06</v>
      </c>
      <c r="H11" s="259">
        <f>G11/$G$10</f>
        <v>2.2222222222222223</v>
      </c>
      <c r="I11" s="260">
        <v>2480</v>
      </c>
      <c r="J11" s="261">
        <v>2318</v>
      </c>
      <c r="K11" s="262">
        <f t="shared" ref="K11:K76" si="0">ROUND((J11-I11)/I11,4)</f>
        <v>-6.5299999999999997E-2</v>
      </c>
      <c r="L11" s="263">
        <f>IF(K11&lt;=$K$10-0.2,3,IF(K11&lt;=$K$10-0.15,2.5,IF(K11&lt;=$K$10-0.1,2,IF(K11&lt;=$K$10-0.05,1.5,IF(K11&lt;=$K$10,1,IF(K11&lt;=$K$10+0.05,0.5,0))))))</f>
        <v>2</v>
      </c>
      <c r="M11" s="257">
        <f>($K$10-K11)/$K$10</f>
        <v>2.4073275862068968</v>
      </c>
      <c r="N11" s="264">
        <f t="shared" ref="N11:N76" si="1">D11+F11+H11+L11</f>
        <v>8.4687894298544641</v>
      </c>
      <c r="O11" s="468">
        <v>816</v>
      </c>
      <c r="P11" s="265">
        <f t="shared" ref="P11:P69" si="2">ROUND(O11/E11,4)</f>
        <v>1.6799999999999999E-2</v>
      </c>
      <c r="Q11" s="266">
        <f t="shared" ref="Q11:Q80" si="3">ROUND(N11+(P11*100),2)</f>
        <v>10.15</v>
      </c>
      <c r="R11" s="267">
        <f t="shared" ref="R11:R80" si="4">ROUND(IF($Q11&gt;=10,1,IF($Q11&gt;=8.75,0.75,IF($Q11&gt;=7.5,0.5,IF($Q11&gt;=6.25,0.25,0)))),4)</f>
        <v>1</v>
      </c>
      <c r="S11" s="268">
        <f t="shared" ref="S11:S80" si="5">ROUND(IF($Q11&gt;=10,1,IF($Q11&gt;=6.25,$Q11*$Q11/100,0)),4)</f>
        <v>1</v>
      </c>
      <c r="T11" s="269">
        <f>IF($Q11&lt;7," ",ROUND(IF($Q11&gt;=10,1,IF($Q11&gt;=7,$Q11*$Q11/100,)),4))</f>
        <v>1</v>
      </c>
      <c r="U11" s="270">
        <f t="shared" ref="U11:U80" si="6">ROUND(IF($Q11&gt;=10,1,IF($Q11&gt;=7.5,$Q11*$Q11/100,0)),4)</f>
        <v>1</v>
      </c>
      <c r="V11" s="271" t="s">
        <v>249</v>
      </c>
    </row>
    <row r="12" spans="1:22" ht="15.5" x14ac:dyDescent="0.35">
      <c r="A12" s="272"/>
      <c r="B12" s="254" t="s">
        <v>250</v>
      </c>
      <c r="C12" s="255">
        <f>(C11+C95)/2</f>
        <v>0.28049999999999997</v>
      </c>
      <c r="D12" s="256">
        <f t="shared" ref="D12:D80" si="7">C12/$C$10</f>
        <v>2.5499999999999998</v>
      </c>
      <c r="E12" s="173">
        <v>32138</v>
      </c>
      <c r="F12" s="257">
        <f t="shared" ref="F12:F80" si="8">$E$10/E12</f>
        <v>2.1236853568983758</v>
      </c>
      <c r="G12" s="670">
        <f>(G11+G95)/2</f>
        <v>3.4999999999999996E-2</v>
      </c>
      <c r="H12" s="259">
        <f t="shared" ref="H12:H80" si="9">G12/$G$10</f>
        <v>1.2962962962962963</v>
      </c>
      <c r="I12" s="273">
        <f>(I11+I95)/2</f>
        <v>3641</v>
      </c>
      <c r="J12" s="274">
        <f>(J11+J95)/2</f>
        <v>3551.5</v>
      </c>
      <c r="K12" s="262">
        <f t="shared" si="0"/>
        <v>-2.46E-2</v>
      </c>
      <c r="L12" s="263">
        <f t="shared" ref="L12:L80" si="10">IF(K12&lt;=$K$10-0.2,3,IF(K12&lt;=$K$10-0.15,2.5,IF(K12&lt;=$K$10-0.1,2,IF(K12&lt;=$K$10-0.05,1.5,IF(K12&lt;=$K$10,1,IF(K12&lt;=$K$10+0.05,0.5,0))))))</f>
        <v>1.5</v>
      </c>
      <c r="M12" s="257">
        <f t="shared" ref="M12:M80" si="11">($K$10-K12)/$K$10</f>
        <v>1.5301724137931034</v>
      </c>
      <c r="N12" s="264">
        <f t="shared" si="1"/>
        <v>7.4699816531946723</v>
      </c>
      <c r="O12" s="468">
        <f>(O11+O95)/2</f>
        <v>816</v>
      </c>
      <c r="P12" s="265">
        <f t="shared" si="2"/>
        <v>2.5399999999999999E-2</v>
      </c>
      <c r="Q12" s="266">
        <f t="shared" si="3"/>
        <v>10.01</v>
      </c>
      <c r="R12" s="275">
        <f t="shared" si="4"/>
        <v>1</v>
      </c>
      <c r="S12" s="270">
        <f t="shared" si="5"/>
        <v>1</v>
      </c>
      <c r="T12" s="269">
        <f t="shared" ref="T12:T81" si="12">IF($Q12&lt;7," ",ROUND(IF($Q12&gt;=10,1,IF($Q12&gt;=7,$Q12*$Q12/100,)),4))</f>
        <v>1</v>
      </c>
      <c r="U12" s="270">
        <f t="shared" si="6"/>
        <v>1</v>
      </c>
      <c r="V12" s="671" t="s">
        <v>1098</v>
      </c>
    </row>
    <row r="13" spans="1:22" ht="15.5" hidden="1" x14ac:dyDescent="0.35">
      <c r="A13" s="276"/>
      <c r="B13" s="254" t="s">
        <v>67</v>
      </c>
      <c r="C13" s="255">
        <v>0.10299999999999999</v>
      </c>
      <c r="D13" s="256">
        <f t="shared" si="7"/>
        <v>0.93636363636363629</v>
      </c>
      <c r="E13" s="173">
        <v>33594</v>
      </c>
      <c r="F13" s="257">
        <f t="shared" si="8"/>
        <v>2.0316425552181938</v>
      </c>
      <c r="G13" s="258">
        <v>7.1999999999999995E-2</v>
      </c>
      <c r="H13" s="259">
        <f t="shared" si="9"/>
        <v>2.6666666666666665</v>
      </c>
      <c r="I13" s="273">
        <v>1217</v>
      </c>
      <c r="J13" s="274">
        <v>1321</v>
      </c>
      <c r="K13" s="262">
        <f t="shared" si="0"/>
        <v>8.5500000000000007E-2</v>
      </c>
      <c r="L13" s="263">
        <f t="shared" si="10"/>
        <v>0.5</v>
      </c>
      <c r="M13" s="257">
        <f t="shared" si="11"/>
        <v>-0.84267241379310376</v>
      </c>
      <c r="N13" s="264">
        <f t="shared" si="1"/>
        <v>6.1346728582484964</v>
      </c>
      <c r="O13" s="174">
        <v>369.28</v>
      </c>
      <c r="P13" s="265">
        <f t="shared" si="2"/>
        <v>1.0999999999999999E-2</v>
      </c>
      <c r="Q13" s="266">
        <f t="shared" si="3"/>
        <v>7.23</v>
      </c>
      <c r="R13" s="267">
        <f t="shared" si="4"/>
        <v>0.25</v>
      </c>
      <c r="S13" s="268">
        <f t="shared" si="5"/>
        <v>0.52270000000000005</v>
      </c>
      <c r="T13" s="269">
        <f t="shared" si="12"/>
        <v>0.52270000000000005</v>
      </c>
      <c r="U13" s="268">
        <f t="shared" si="6"/>
        <v>0</v>
      </c>
      <c r="V13" s="209" t="s">
        <v>251</v>
      </c>
    </row>
    <row r="14" spans="1:22" ht="15.5" x14ac:dyDescent="0.35">
      <c r="A14" s="272"/>
      <c r="B14" s="254" t="s">
        <v>68</v>
      </c>
      <c r="C14" s="255">
        <v>0.114</v>
      </c>
      <c r="D14" s="256">
        <f t="shared" si="7"/>
        <v>1.0363636363636364</v>
      </c>
      <c r="E14" s="173">
        <v>59659</v>
      </c>
      <c r="F14" s="257">
        <f t="shared" si="8"/>
        <v>1.1440185051710554</v>
      </c>
      <c r="G14" s="670">
        <v>4.1000000000000002E-2</v>
      </c>
      <c r="H14" s="259">
        <f t="shared" si="9"/>
        <v>1.5185185185185186</v>
      </c>
      <c r="I14" s="273">
        <v>22961</v>
      </c>
      <c r="J14" s="274">
        <v>24193</v>
      </c>
      <c r="K14" s="262">
        <f t="shared" si="0"/>
        <v>5.3699999999999998E-2</v>
      </c>
      <c r="L14" s="263">
        <f t="shared" si="10"/>
        <v>0.5</v>
      </c>
      <c r="M14" s="257">
        <f t="shared" si="11"/>
        <v>-0.15732758620689657</v>
      </c>
      <c r="N14" s="264">
        <f t="shared" si="1"/>
        <v>4.1989006600532104</v>
      </c>
      <c r="O14" s="468">
        <v>341</v>
      </c>
      <c r="P14" s="265">
        <f t="shared" si="2"/>
        <v>5.7000000000000002E-3</v>
      </c>
      <c r="Q14" s="266">
        <f t="shared" si="3"/>
        <v>4.7699999999999996</v>
      </c>
      <c r="R14" s="275">
        <f t="shared" si="4"/>
        <v>0</v>
      </c>
      <c r="S14" s="270">
        <f t="shared" si="5"/>
        <v>0</v>
      </c>
      <c r="T14" s="269" t="str">
        <f t="shared" si="12"/>
        <v xml:space="preserve"> </v>
      </c>
      <c r="U14" s="270">
        <f t="shared" si="6"/>
        <v>0</v>
      </c>
    </row>
    <row r="15" spans="1:22" ht="15.5" hidden="1" x14ac:dyDescent="0.35">
      <c r="A15" s="272"/>
      <c r="B15" s="254" t="s">
        <v>69</v>
      </c>
      <c r="C15" s="255">
        <v>0.193</v>
      </c>
      <c r="D15" s="256">
        <f t="shared" si="7"/>
        <v>1.7545454545454546</v>
      </c>
      <c r="E15" s="173">
        <v>40438</v>
      </c>
      <c r="F15" s="257">
        <f t="shared" si="8"/>
        <v>1.6877936594292497</v>
      </c>
      <c r="G15" s="258">
        <v>4.8000000000000001E-2</v>
      </c>
      <c r="H15" s="259">
        <f t="shared" si="9"/>
        <v>1.7777777777777779</v>
      </c>
      <c r="I15" s="273">
        <v>18993</v>
      </c>
      <c r="J15" s="274">
        <v>18968</v>
      </c>
      <c r="K15" s="262">
        <f t="shared" si="0"/>
        <v>-1.2999999999999999E-3</v>
      </c>
      <c r="L15" s="263">
        <f t="shared" si="10"/>
        <v>1</v>
      </c>
      <c r="M15" s="257">
        <f t="shared" si="11"/>
        <v>1.0280172413793105</v>
      </c>
      <c r="N15" s="264">
        <f t="shared" si="1"/>
        <v>6.2201168917524825</v>
      </c>
      <c r="O15" s="177">
        <v>1035</v>
      </c>
      <c r="P15" s="265">
        <f t="shared" si="2"/>
        <v>2.5600000000000001E-2</v>
      </c>
      <c r="Q15" s="266">
        <f t="shared" si="3"/>
        <v>8.7799999999999994</v>
      </c>
      <c r="R15" s="275">
        <f t="shared" si="4"/>
        <v>0.75</v>
      </c>
      <c r="S15" s="270">
        <f t="shared" si="5"/>
        <v>0.77090000000000003</v>
      </c>
      <c r="T15" s="269">
        <f t="shared" si="12"/>
        <v>0.77090000000000003</v>
      </c>
      <c r="U15" s="270">
        <f t="shared" si="6"/>
        <v>0.77090000000000003</v>
      </c>
    </row>
    <row r="16" spans="1:22" ht="15.5" hidden="1" x14ac:dyDescent="0.35">
      <c r="A16" s="272"/>
      <c r="B16" s="254" t="s">
        <v>70</v>
      </c>
      <c r="C16" s="255">
        <v>0.21299999999999999</v>
      </c>
      <c r="D16" s="256">
        <f t="shared" si="7"/>
        <v>1.9363636363636363</v>
      </c>
      <c r="E16" s="173">
        <v>46168</v>
      </c>
      <c r="F16" s="257">
        <f t="shared" si="8"/>
        <v>1.4783183157165136</v>
      </c>
      <c r="G16" s="258">
        <v>2.5000000000000001E-2</v>
      </c>
      <c r="H16" s="259">
        <f t="shared" si="9"/>
        <v>0.92592592592592604</v>
      </c>
      <c r="I16" s="273">
        <v>1521</v>
      </c>
      <c r="J16" s="274">
        <v>1318</v>
      </c>
      <c r="K16" s="262">
        <f t="shared" si="0"/>
        <v>-0.13350000000000001</v>
      </c>
      <c r="L16" s="263">
        <f t="shared" si="10"/>
        <v>2.5</v>
      </c>
      <c r="M16" s="257">
        <f t="shared" si="11"/>
        <v>3.8771551724137936</v>
      </c>
      <c r="N16" s="264">
        <f t="shared" si="1"/>
        <v>6.8406078780060753</v>
      </c>
      <c r="O16" s="176">
        <v>566</v>
      </c>
      <c r="P16" s="265">
        <f t="shared" si="2"/>
        <v>1.23E-2</v>
      </c>
      <c r="Q16" s="266">
        <f t="shared" si="3"/>
        <v>8.07</v>
      </c>
      <c r="R16" s="267">
        <f t="shared" si="4"/>
        <v>0.5</v>
      </c>
      <c r="S16" s="268">
        <f t="shared" si="5"/>
        <v>0.6512</v>
      </c>
      <c r="T16" s="269">
        <f t="shared" si="12"/>
        <v>0.6512</v>
      </c>
      <c r="U16" s="270">
        <f t="shared" si="6"/>
        <v>0.6512</v>
      </c>
    </row>
    <row r="17" spans="1:22" ht="15.5" hidden="1" x14ac:dyDescent="0.35">
      <c r="A17" s="272"/>
      <c r="B17" s="254" t="s">
        <v>71</v>
      </c>
      <c r="C17" s="255">
        <v>0.18899999999999997</v>
      </c>
      <c r="D17" s="256">
        <f t="shared" si="7"/>
        <v>1.718181818181818</v>
      </c>
      <c r="E17" s="173">
        <v>46625</v>
      </c>
      <c r="F17" s="257">
        <f t="shared" si="8"/>
        <v>1.463828418230563</v>
      </c>
      <c r="G17" s="258">
        <v>3.2000000000000001E-2</v>
      </c>
      <c r="H17" s="259">
        <f t="shared" si="9"/>
        <v>1.1851851851851851</v>
      </c>
      <c r="I17" s="273">
        <v>32262</v>
      </c>
      <c r="J17" s="274">
        <v>33044</v>
      </c>
      <c r="K17" s="262">
        <f t="shared" si="0"/>
        <v>2.4199999999999999E-2</v>
      </c>
      <c r="L17" s="263">
        <f t="shared" si="10"/>
        <v>1</v>
      </c>
      <c r="M17" s="257">
        <f t="shared" si="11"/>
        <v>0.47844827586206895</v>
      </c>
      <c r="N17" s="264">
        <f t="shared" si="1"/>
        <v>5.3671954215975664</v>
      </c>
      <c r="O17" s="178">
        <v>829</v>
      </c>
      <c r="P17" s="265">
        <f t="shared" si="2"/>
        <v>1.78E-2</v>
      </c>
      <c r="Q17" s="266">
        <f t="shared" si="3"/>
        <v>7.15</v>
      </c>
      <c r="R17" s="267">
        <f t="shared" si="4"/>
        <v>0.25</v>
      </c>
      <c r="S17" s="268">
        <f t="shared" si="5"/>
        <v>0.51119999999999999</v>
      </c>
      <c r="T17" s="269">
        <f t="shared" si="12"/>
        <v>0.51119999999999999</v>
      </c>
      <c r="U17" s="270">
        <f t="shared" si="6"/>
        <v>0</v>
      </c>
    </row>
    <row r="18" spans="1:22" ht="15.5" hidden="1" x14ac:dyDescent="0.35">
      <c r="A18" s="272"/>
      <c r="B18" s="254" t="s">
        <v>72</v>
      </c>
      <c r="C18" s="255">
        <v>0.10100000000000001</v>
      </c>
      <c r="D18" s="256">
        <f t="shared" si="7"/>
        <v>0.91818181818181821</v>
      </c>
      <c r="E18" s="173">
        <v>56897</v>
      </c>
      <c r="F18" s="257">
        <f t="shared" si="8"/>
        <v>1.19955357927483</v>
      </c>
      <c r="G18" s="258">
        <v>7.9000000000000001E-2</v>
      </c>
      <c r="H18" s="259">
        <f t="shared" si="9"/>
        <v>2.925925925925926</v>
      </c>
      <c r="I18" s="273">
        <v>5559</v>
      </c>
      <c r="J18" s="274">
        <v>5229</v>
      </c>
      <c r="K18" s="262">
        <f t="shared" si="0"/>
        <v>-5.9400000000000001E-2</v>
      </c>
      <c r="L18" s="263">
        <f t="shared" si="10"/>
        <v>2</v>
      </c>
      <c r="M18" s="257">
        <f t="shared" si="11"/>
        <v>2.2801724137931036</v>
      </c>
      <c r="N18" s="264">
        <f t="shared" si="1"/>
        <v>7.0436613233825742</v>
      </c>
      <c r="O18" s="178">
        <v>577</v>
      </c>
      <c r="P18" s="265">
        <f t="shared" si="2"/>
        <v>1.01E-2</v>
      </c>
      <c r="Q18" s="266">
        <f t="shared" si="3"/>
        <v>8.0500000000000007</v>
      </c>
      <c r="R18" s="275">
        <f t="shared" si="4"/>
        <v>0.5</v>
      </c>
      <c r="S18" s="270">
        <f t="shared" si="5"/>
        <v>0.64800000000000002</v>
      </c>
      <c r="T18" s="269">
        <f t="shared" si="12"/>
        <v>0.64800000000000002</v>
      </c>
      <c r="U18" s="270">
        <f t="shared" si="6"/>
        <v>0.64800000000000002</v>
      </c>
      <c r="V18" s="209" t="s">
        <v>252</v>
      </c>
    </row>
    <row r="19" spans="1:22" ht="15.5" x14ac:dyDescent="0.35">
      <c r="A19" s="272"/>
      <c r="B19" s="254" t="s">
        <v>73</v>
      </c>
      <c r="C19" s="255">
        <v>0.13900000000000001</v>
      </c>
      <c r="D19" s="256">
        <f t="shared" si="7"/>
        <v>1.2636363636363637</v>
      </c>
      <c r="E19" s="173">
        <v>60838</v>
      </c>
      <c r="F19" s="257">
        <f t="shared" si="8"/>
        <v>1.1218481869883954</v>
      </c>
      <c r="G19" s="670">
        <v>3.3000000000000002E-2</v>
      </c>
      <c r="H19" s="259">
        <f t="shared" si="9"/>
        <v>1.2222222222222223</v>
      </c>
      <c r="I19" s="273">
        <v>8398</v>
      </c>
      <c r="J19" s="274">
        <v>8805</v>
      </c>
      <c r="K19" s="262">
        <f t="shared" si="0"/>
        <v>4.8500000000000001E-2</v>
      </c>
      <c r="L19" s="263">
        <f t="shared" si="10"/>
        <v>0.5</v>
      </c>
      <c r="M19" s="257">
        <f t="shared" si="11"/>
        <v>-4.5258620689655277E-2</v>
      </c>
      <c r="N19" s="264">
        <f t="shared" si="1"/>
        <v>4.1077067728469814</v>
      </c>
      <c r="O19" s="468">
        <v>750</v>
      </c>
      <c r="P19" s="265">
        <f t="shared" si="2"/>
        <v>1.23E-2</v>
      </c>
      <c r="Q19" s="266">
        <f t="shared" si="3"/>
        <v>5.34</v>
      </c>
      <c r="R19" s="267">
        <f t="shared" si="4"/>
        <v>0</v>
      </c>
      <c r="S19" s="268">
        <f t="shared" si="5"/>
        <v>0</v>
      </c>
      <c r="T19" s="269" t="str">
        <f t="shared" si="12"/>
        <v xml:space="preserve"> </v>
      </c>
      <c r="U19" s="270">
        <f t="shared" si="6"/>
        <v>0</v>
      </c>
      <c r="V19" s="671" t="s">
        <v>1099</v>
      </c>
    </row>
    <row r="20" spans="1:22" ht="15.5" x14ac:dyDescent="0.35">
      <c r="A20" s="272"/>
      <c r="B20" s="254" t="s">
        <v>74</v>
      </c>
      <c r="C20" s="255">
        <v>0.2</v>
      </c>
      <c r="D20" s="256">
        <f t="shared" si="7"/>
        <v>1.8181818181818183</v>
      </c>
      <c r="E20" s="173">
        <v>53925</v>
      </c>
      <c r="F20" s="257">
        <f t="shared" si="8"/>
        <v>1.2656652758460825</v>
      </c>
      <c r="G20" s="670">
        <v>1.7000000000000001E-2</v>
      </c>
      <c r="H20" s="259">
        <f t="shared" si="9"/>
        <v>0.62962962962962965</v>
      </c>
      <c r="I20" s="273">
        <v>6666</v>
      </c>
      <c r="J20" s="274">
        <v>7041</v>
      </c>
      <c r="K20" s="262">
        <f t="shared" si="0"/>
        <v>5.6300000000000003E-2</v>
      </c>
      <c r="L20" s="263">
        <f t="shared" si="10"/>
        <v>0.5</v>
      </c>
      <c r="M20" s="257">
        <f t="shared" si="11"/>
        <v>-0.21336206896551738</v>
      </c>
      <c r="N20" s="264">
        <f t="shared" si="1"/>
        <v>4.2134767236575303</v>
      </c>
      <c r="O20" s="468">
        <v>669</v>
      </c>
      <c r="P20" s="265">
        <f t="shared" si="2"/>
        <v>1.24E-2</v>
      </c>
      <c r="Q20" s="266">
        <f t="shared" si="3"/>
        <v>5.45</v>
      </c>
      <c r="R20" s="267">
        <f t="shared" si="4"/>
        <v>0</v>
      </c>
      <c r="S20" s="268">
        <f t="shared" si="5"/>
        <v>0</v>
      </c>
      <c r="T20" s="269" t="str">
        <f t="shared" si="12"/>
        <v xml:space="preserve"> </v>
      </c>
      <c r="U20" s="270">
        <f t="shared" si="6"/>
        <v>0</v>
      </c>
      <c r="V20" s="671" t="s">
        <v>1099</v>
      </c>
    </row>
    <row r="21" spans="1:22" ht="15.5" hidden="1" x14ac:dyDescent="0.35">
      <c r="A21" s="272"/>
      <c r="B21" s="254" t="s">
        <v>75</v>
      </c>
      <c r="C21" s="255">
        <v>6.9000000000000006E-2</v>
      </c>
      <c r="D21" s="256">
        <f t="shared" si="7"/>
        <v>0.62727272727272732</v>
      </c>
      <c r="E21" s="173">
        <v>57955</v>
      </c>
      <c r="F21" s="257">
        <f t="shared" si="8"/>
        <v>1.1776550772150807</v>
      </c>
      <c r="G21" s="258">
        <v>2.7E-2</v>
      </c>
      <c r="H21" s="259">
        <f t="shared" si="9"/>
        <v>1</v>
      </c>
      <c r="I21" s="273">
        <v>2713</v>
      </c>
      <c r="J21" s="274">
        <v>2732</v>
      </c>
      <c r="K21" s="262">
        <f t="shared" si="0"/>
        <v>7.0000000000000001E-3</v>
      </c>
      <c r="L21" s="263">
        <f t="shared" si="10"/>
        <v>1</v>
      </c>
      <c r="M21" s="257">
        <f t="shared" si="11"/>
        <v>0.84913793103448276</v>
      </c>
      <c r="N21" s="264">
        <f t="shared" si="1"/>
        <v>3.8049278044878081</v>
      </c>
      <c r="O21" s="178">
        <v>891</v>
      </c>
      <c r="P21" s="265">
        <f t="shared" si="2"/>
        <v>1.54E-2</v>
      </c>
      <c r="Q21" s="266">
        <f t="shared" si="3"/>
        <v>5.34</v>
      </c>
      <c r="R21" s="275">
        <f t="shared" si="4"/>
        <v>0</v>
      </c>
      <c r="S21" s="270">
        <f t="shared" si="5"/>
        <v>0</v>
      </c>
      <c r="T21" s="269" t="str">
        <f t="shared" si="12"/>
        <v xml:space="preserve"> </v>
      </c>
      <c r="U21" s="270">
        <f t="shared" si="6"/>
        <v>0</v>
      </c>
    </row>
    <row r="22" spans="1:22" ht="15.5" x14ac:dyDescent="0.35">
      <c r="A22" s="272"/>
      <c r="B22" s="254" t="s">
        <v>76</v>
      </c>
      <c r="C22" s="255">
        <v>5.3999999999999999E-2</v>
      </c>
      <c r="D22" s="256">
        <f t="shared" si="7"/>
        <v>0.49090909090909091</v>
      </c>
      <c r="E22" s="173">
        <v>57759</v>
      </c>
      <c r="F22" s="257">
        <f t="shared" si="8"/>
        <v>1.1816513443792309</v>
      </c>
      <c r="G22" s="670">
        <v>0.02</v>
      </c>
      <c r="H22" s="259">
        <f t="shared" si="9"/>
        <v>0.74074074074074081</v>
      </c>
      <c r="I22" s="273">
        <v>7452</v>
      </c>
      <c r="J22" s="274">
        <v>8194</v>
      </c>
      <c r="K22" s="262">
        <f t="shared" si="0"/>
        <v>9.9599999999999994E-2</v>
      </c>
      <c r="L22" s="263">
        <f t="shared" si="10"/>
        <v>0</v>
      </c>
      <c r="M22" s="257">
        <f t="shared" si="11"/>
        <v>-1.146551724137931</v>
      </c>
      <c r="N22" s="264">
        <f t="shared" si="1"/>
        <v>2.4133011760290626</v>
      </c>
      <c r="O22" s="468">
        <v>657</v>
      </c>
      <c r="P22" s="265">
        <f t="shared" si="2"/>
        <v>1.14E-2</v>
      </c>
      <c r="Q22" s="266">
        <f t="shared" si="3"/>
        <v>3.55</v>
      </c>
      <c r="R22" s="275">
        <f t="shared" si="4"/>
        <v>0</v>
      </c>
      <c r="S22" s="270">
        <f t="shared" si="5"/>
        <v>0</v>
      </c>
      <c r="T22" s="269" t="str">
        <f t="shared" si="12"/>
        <v xml:space="preserve"> </v>
      </c>
      <c r="U22" s="270">
        <f t="shared" si="6"/>
        <v>0</v>
      </c>
      <c r="V22" s="209" t="s">
        <v>253</v>
      </c>
    </row>
    <row r="23" spans="1:22" ht="15.5" hidden="1" x14ac:dyDescent="0.35">
      <c r="A23" s="272"/>
      <c r="B23" s="254" t="s">
        <v>77</v>
      </c>
      <c r="C23" s="255">
        <v>0.155</v>
      </c>
      <c r="D23" s="256">
        <f t="shared" si="7"/>
        <v>1.4090909090909092</v>
      </c>
      <c r="E23" s="173">
        <v>54150</v>
      </c>
      <c r="F23" s="257">
        <f t="shared" si="8"/>
        <v>1.2604062788550323</v>
      </c>
      <c r="G23" s="258">
        <v>2.4E-2</v>
      </c>
      <c r="H23" s="259">
        <f t="shared" si="9"/>
        <v>0.88888888888888895</v>
      </c>
      <c r="I23" s="273">
        <v>2607</v>
      </c>
      <c r="J23" s="274">
        <v>2504</v>
      </c>
      <c r="K23" s="262">
        <f t="shared" si="0"/>
        <v>-3.95E-2</v>
      </c>
      <c r="L23" s="263">
        <f t="shared" si="10"/>
        <v>1.5</v>
      </c>
      <c r="M23" s="257">
        <f t="shared" si="11"/>
        <v>1.851293103448276</v>
      </c>
      <c r="N23" s="264">
        <f t="shared" si="1"/>
        <v>5.0583860768348305</v>
      </c>
      <c r="O23" s="176">
        <v>977</v>
      </c>
      <c r="P23" s="265">
        <f t="shared" si="2"/>
        <v>1.7999999999999999E-2</v>
      </c>
      <c r="Q23" s="266">
        <f t="shared" si="3"/>
        <v>6.86</v>
      </c>
      <c r="R23" s="275">
        <f t="shared" si="4"/>
        <v>0.25</v>
      </c>
      <c r="S23" s="270">
        <f t="shared" si="5"/>
        <v>0.47060000000000002</v>
      </c>
      <c r="T23" s="269" t="str">
        <f t="shared" si="12"/>
        <v xml:space="preserve"> </v>
      </c>
      <c r="U23" s="270">
        <f t="shared" si="6"/>
        <v>0</v>
      </c>
    </row>
    <row r="24" spans="1:22" ht="15.5" x14ac:dyDescent="0.35">
      <c r="A24" s="272"/>
      <c r="B24" s="254" t="s">
        <v>78</v>
      </c>
      <c r="C24" s="255">
        <v>0.126</v>
      </c>
      <c r="D24" s="256">
        <f t="shared" si="7"/>
        <v>1.1454545454545455</v>
      </c>
      <c r="E24" s="173">
        <v>53120</v>
      </c>
      <c r="F24" s="257">
        <f t="shared" si="8"/>
        <v>1.2848456325301205</v>
      </c>
      <c r="G24" s="670">
        <v>3.2000000000000001E-2</v>
      </c>
      <c r="H24" s="259">
        <f t="shared" si="9"/>
        <v>1.1851851851851851</v>
      </c>
      <c r="I24" s="273">
        <v>21309</v>
      </c>
      <c r="J24" s="274">
        <v>22450</v>
      </c>
      <c r="K24" s="262">
        <f t="shared" si="0"/>
        <v>5.3499999999999999E-2</v>
      </c>
      <c r="L24" s="263">
        <f t="shared" si="10"/>
        <v>0.5</v>
      </c>
      <c r="M24" s="257">
        <f t="shared" si="11"/>
        <v>-0.15301724137931041</v>
      </c>
      <c r="N24" s="264">
        <f t="shared" si="1"/>
        <v>4.1154853631698511</v>
      </c>
      <c r="O24" s="468">
        <v>997</v>
      </c>
      <c r="P24" s="265">
        <f t="shared" si="2"/>
        <v>1.8800000000000001E-2</v>
      </c>
      <c r="Q24" s="266">
        <f t="shared" si="3"/>
        <v>6</v>
      </c>
      <c r="R24" s="275">
        <f t="shared" si="4"/>
        <v>0</v>
      </c>
      <c r="S24" s="270">
        <f t="shared" si="5"/>
        <v>0</v>
      </c>
      <c r="T24" s="269" t="str">
        <f t="shared" si="12"/>
        <v xml:space="preserve"> </v>
      </c>
      <c r="U24" s="270">
        <f t="shared" si="6"/>
        <v>0</v>
      </c>
      <c r="V24" s="671" t="s">
        <v>1125</v>
      </c>
    </row>
    <row r="25" spans="1:22" ht="15.5" x14ac:dyDescent="0.35">
      <c r="A25" s="272"/>
      <c r="B25" s="254" t="s">
        <v>79</v>
      </c>
      <c r="C25" s="255">
        <v>0.17</v>
      </c>
      <c r="D25" s="256">
        <f t="shared" si="7"/>
        <v>1.5454545454545456</v>
      </c>
      <c r="E25" s="173">
        <v>36250</v>
      </c>
      <c r="F25" s="257">
        <f t="shared" si="8"/>
        <v>1.8827862068965517</v>
      </c>
      <c r="G25" s="277">
        <v>5.8000000000000003E-2</v>
      </c>
      <c r="H25" s="278">
        <f t="shared" si="9"/>
        <v>2.1481481481481484</v>
      </c>
      <c r="I25" s="273">
        <v>901</v>
      </c>
      <c r="J25" s="274">
        <v>868</v>
      </c>
      <c r="K25" s="262">
        <f t="shared" si="0"/>
        <v>-3.6600000000000001E-2</v>
      </c>
      <c r="L25" s="263">
        <f t="shared" si="10"/>
        <v>1.5</v>
      </c>
      <c r="M25" s="257">
        <f t="shared" si="11"/>
        <v>1.7887931034482758</v>
      </c>
      <c r="N25" s="264">
        <f t="shared" si="1"/>
        <v>7.0763889004992464</v>
      </c>
      <c r="O25" s="468">
        <v>985</v>
      </c>
      <c r="P25" s="265">
        <f t="shared" si="2"/>
        <v>2.7199999999999998E-2</v>
      </c>
      <c r="Q25" s="266">
        <f t="shared" si="3"/>
        <v>9.8000000000000007</v>
      </c>
      <c r="R25" s="267">
        <f t="shared" si="4"/>
        <v>0.75</v>
      </c>
      <c r="S25" s="268">
        <f t="shared" si="5"/>
        <v>0.96040000000000003</v>
      </c>
      <c r="T25" s="269">
        <f t="shared" si="12"/>
        <v>0.96040000000000003</v>
      </c>
      <c r="U25" s="268">
        <f t="shared" si="6"/>
        <v>0.96040000000000003</v>
      </c>
    </row>
    <row r="26" spans="1:22" ht="15.5" hidden="1" x14ac:dyDescent="0.35">
      <c r="A26" s="272"/>
      <c r="B26" s="254" t="s">
        <v>80</v>
      </c>
      <c r="C26" s="255">
        <v>0.189</v>
      </c>
      <c r="D26" s="256">
        <f t="shared" si="7"/>
        <v>1.7181818181818183</v>
      </c>
      <c r="E26" s="173">
        <v>68523</v>
      </c>
      <c r="F26" s="257">
        <f t="shared" si="8"/>
        <v>0.99603052989507168</v>
      </c>
      <c r="G26" s="258">
        <v>0.01</v>
      </c>
      <c r="H26" s="259">
        <f t="shared" si="9"/>
        <v>0.37037037037037041</v>
      </c>
      <c r="I26" s="273">
        <v>2686</v>
      </c>
      <c r="J26" s="274">
        <v>2792</v>
      </c>
      <c r="K26" s="262">
        <f t="shared" si="0"/>
        <v>3.95E-2</v>
      </c>
      <c r="L26" s="263">
        <f t="shared" si="10"/>
        <v>1</v>
      </c>
      <c r="M26" s="257">
        <f t="shared" si="11"/>
        <v>0.14870689655172406</v>
      </c>
      <c r="N26" s="264">
        <f t="shared" si="1"/>
        <v>4.0845827184472601</v>
      </c>
      <c r="O26" s="176">
        <v>618</v>
      </c>
      <c r="P26" s="265">
        <f t="shared" si="2"/>
        <v>8.9999999999999993E-3</v>
      </c>
      <c r="Q26" s="266">
        <f t="shared" si="3"/>
        <v>4.9800000000000004</v>
      </c>
      <c r="R26" s="275">
        <f t="shared" si="4"/>
        <v>0</v>
      </c>
      <c r="S26" s="270">
        <f t="shared" si="5"/>
        <v>0</v>
      </c>
      <c r="T26" s="269" t="str">
        <f t="shared" si="12"/>
        <v xml:space="preserve"> </v>
      </c>
      <c r="U26" s="270">
        <f t="shared" si="6"/>
        <v>0</v>
      </c>
      <c r="V26" s="209" t="s">
        <v>254</v>
      </c>
    </row>
    <row r="27" spans="1:22" ht="15.5" hidden="1" x14ac:dyDescent="0.35">
      <c r="A27" s="272"/>
      <c r="B27" s="254" t="s">
        <v>371</v>
      </c>
      <c r="C27" s="255">
        <v>0.128</v>
      </c>
      <c r="D27" s="256">
        <f t="shared" si="7"/>
        <v>1.1636363636363636</v>
      </c>
      <c r="E27" s="173">
        <v>57917</v>
      </c>
      <c r="F27" s="257">
        <f t="shared" si="8"/>
        <v>1.1784277500561149</v>
      </c>
      <c r="G27" s="258">
        <v>8.9999999999999993E-3</v>
      </c>
      <c r="H27" s="259">
        <f t="shared" si="9"/>
        <v>0.33333333333333331</v>
      </c>
      <c r="I27" s="273">
        <v>2151</v>
      </c>
      <c r="J27" s="274">
        <v>2053</v>
      </c>
      <c r="K27" s="262">
        <f t="shared" si="0"/>
        <v>-4.5600000000000002E-2</v>
      </c>
      <c r="L27" s="263">
        <f t="shared" si="10"/>
        <v>1.5</v>
      </c>
      <c r="M27" s="257">
        <f t="shared" si="11"/>
        <v>1.9827586206896552</v>
      </c>
      <c r="N27" s="264">
        <f t="shared" si="1"/>
        <v>4.1753974470258122</v>
      </c>
      <c r="O27" s="177">
        <v>896</v>
      </c>
      <c r="P27" s="265">
        <f t="shared" si="2"/>
        <v>1.55E-2</v>
      </c>
      <c r="Q27" s="266">
        <f t="shared" si="3"/>
        <v>5.73</v>
      </c>
      <c r="R27" s="275">
        <f t="shared" si="4"/>
        <v>0</v>
      </c>
      <c r="S27" s="270">
        <f t="shared" si="5"/>
        <v>0</v>
      </c>
      <c r="T27" s="269" t="str">
        <f t="shared" si="12"/>
        <v xml:space="preserve"> </v>
      </c>
      <c r="U27" s="270">
        <f t="shared" si="6"/>
        <v>0</v>
      </c>
      <c r="V27" s="209" t="s">
        <v>255</v>
      </c>
    </row>
    <row r="28" spans="1:22" ht="15.5" x14ac:dyDescent="0.35">
      <c r="A28" s="272"/>
      <c r="B28" s="254" t="s">
        <v>81</v>
      </c>
      <c r="C28" s="255">
        <v>0.158</v>
      </c>
      <c r="D28" s="256">
        <f t="shared" si="7"/>
        <v>1.4363636363636363</v>
      </c>
      <c r="E28" s="173">
        <v>55870</v>
      </c>
      <c r="F28" s="257">
        <f t="shared" si="8"/>
        <v>1.2216037229282262</v>
      </c>
      <c r="G28" s="670">
        <v>1.7000000000000001E-2</v>
      </c>
      <c r="H28" s="259">
        <f t="shared" si="9"/>
        <v>0.62962962962962965</v>
      </c>
      <c r="I28" s="273">
        <v>9376</v>
      </c>
      <c r="J28" s="274">
        <v>9666</v>
      </c>
      <c r="K28" s="262">
        <f t="shared" si="0"/>
        <v>3.09E-2</v>
      </c>
      <c r="L28" s="263">
        <f t="shared" si="10"/>
        <v>1</v>
      </c>
      <c r="M28" s="257">
        <f t="shared" si="11"/>
        <v>0.33405172413793099</v>
      </c>
      <c r="N28" s="264">
        <f t="shared" si="1"/>
        <v>4.287596988921492</v>
      </c>
      <c r="O28" s="468">
        <v>903</v>
      </c>
      <c r="P28" s="265">
        <f t="shared" si="2"/>
        <v>1.6199999999999999E-2</v>
      </c>
      <c r="Q28" s="266">
        <f t="shared" si="3"/>
        <v>5.91</v>
      </c>
      <c r="R28" s="275">
        <f t="shared" si="4"/>
        <v>0</v>
      </c>
      <c r="S28" s="270">
        <f t="shared" si="5"/>
        <v>0</v>
      </c>
      <c r="T28" s="269" t="str">
        <f t="shared" si="12"/>
        <v xml:space="preserve"> </v>
      </c>
      <c r="U28" s="270">
        <f t="shared" si="6"/>
        <v>0</v>
      </c>
    </row>
    <row r="29" spans="1:22" ht="15.5" hidden="1" x14ac:dyDescent="0.35">
      <c r="A29" s="272"/>
      <c r="B29" s="254" t="s">
        <v>82</v>
      </c>
      <c r="C29" s="255">
        <v>0.107</v>
      </c>
      <c r="D29" s="256">
        <f t="shared" si="7"/>
        <v>0.97272727272727266</v>
      </c>
      <c r="E29" s="173">
        <v>56483</v>
      </c>
      <c r="F29" s="257">
        <f t="shared" si="8"/>
        <v>1.2083458739797814</v>
      </c>
      <c r="G29" s="258">
        <v>8.0000000000000002E-3</v>
      </c>
      <c r="H29" s="259">
        <f t="shared" si="9"/>
        <v>0.29629629629629628</v>
      </c>
      <c r="I29" s="273">
        <v>5210</v>
      </c>
      <c r="J29" s="274">
        <v>5418</v>
      </c>
      <c r="K29" s="262">
        <f t="shared" si="0"/>
        <v>3.9899999999999998E-2</v>
      </c>
      <c r="L29" s="263">
        <f t="shared" si="10"/>
        <v>1</v>
      </c>
      <c r="M29" s="257">
        <f t="shared" si="11"/>
        <v>0.14008620689655171</v>
      </c>
      <c r="N29" s="264">
        <f t="shared" si="1"/>
        <v>3.4773694430033504</v>
      </c>
      <c r="O29" s="176">
        <v>1032</v>
      </c>
      <c r="P29" s="265">
        <f t="shared" si="2"/>
        <v>1.83E-2</v>
      </c>
      <c r="Q29" s="266">
        <f t="shared" si="3"/>
        <v>5.31</v>
      </c>
      <c r="R29" s="267">
        <f t="shared" si="4"/>
        <v>0</v>
      </c>
      <c r="S29" s="268">
        <f t="shared" si="5"/>
        <v>0</v>
      </c>
      <c r="T29" s="269" t="str">
        <f t="shared" si="12"/>
        <v xml:space="preserve"> </v>
      </c>
      <c r="U29" s="270">
        <f t="shared" si="6"/>
        <v>0</v>
      </c>
      <c r="V29" s="209" t="s">
        <v>256</v>
      </c>
    </row>
    <row r="30" spans="1:22" ht="15.5" x14ac:dyDescent="0.35">
      <c r="A30" s="272"/>
      <c r="B30" s="254" t="s">
        <v>1032</v>
      </c>
      <c r="C30" s="255">
        <v>0.184</v>
      </c>
      <c r="D30" s="256">
        <f t="shared" si="7"/>
        <v>1.6727272727272726</v>
      </c>
      <c r="E30" s="173">
        <v>55893</v>
      </c>
      <c r="F30" s="257">
        <f t="shared" si="8"/>
        <v>1.2211010323296299</v>
      </c>
      <c r="G30" s="670">
        <v>4.2000000000000003E-2</v>
      </c>
      <c r="H30" s="259">
        <f t="shared" si="9"/>
        <v>1.5555555555555556</v>
      </c>
      <c r="I30" s="273">
        <v>1083</v>
      </c>
      <c r="J30" s="274">
        <v>1020</v>
      </c>
      <c r="K30" s="262">
        <f t="shared" si="0"/>
        <v>-5.8200000000000002E-2</v>
      </c>
      <c r="L30" s="263">
        <f t="shared" ref="L30" si="13">IF(K30&lt;=$K$10-0.2,3,IF(K30&lt;=$K$10-0.15,2.5,IF(K30&lt;=$K$10-0.1,2,IF(K30&lt;=$K$10-0.05,1.5,IF(K30&lt;=$K$10,1,IF(K30&lt;=$K$10+0.05,0.5,0))))))</f>
        <v>2</v>
      </c>
      <c r="M30" s="257">
        <f t="shared" ref="M30" si="14">($K$10-K30)/$K$10</f>
        <v>2.2543103448275863</v>
      </c>
      <c r="N30" s="264">
        <f t="shared" si="1"/>
        <v>6.4493838606124578</v>
      </c>
      <c r="O30" s="468">
        <v>0</v>
      </c>
      <c r="P30" s="265">
        <f t="shared" si="2"/>
        <v>0</v>
      </c>
      <c r="Q30" s="266">
        <f t="shared" si="3"/>
        <v>6.45</v>
      </c>
      <c r="R30" s="267">
        <f t="shared" si="4"/>
        <v>0.25</v>
      </c>
      <c r="S30" s="268">
        <f t="shared" si="5"/>
        <v>0.41599999999999998</v>
      </c>
      <c r="T30" s="269" t="str">
        <f t="shared" si="12"/>
        <v xml:space="preserve"> </v>
      </c>
      <c r="U30" s="270">
        <f t="shared" si="6"/>
        <v>0</v>
      </c>
      <c r="V30" s="209" t="s">
        <v>1033</v>
      </c>
    </row>
    <row r="31" spans="1:22" ht="15.5" hidden="1" x14ac:dyDescent="0.35">
      <c r="A31" s="272"/>
      <c r="B31" s="254" t="s">
        <v>83</v>
      </c>
      <c r="C31" s="255">
        <v>0.182</v>
      </c>
      <c r="D31" s="256">
        <f t="shared" si="7"/>
        <v>1.6545454545454545</v>
      </c>
      <c r="E31" s="173">
        <v>36176</v>
      </c>
      <c r="F31" s="257">
        <f t="shared" si="8"/>
        <v>1.8866375497567449</v>
      </c>
      <c r="G31" s="258">
        <v>5.7000000000000002E-2</v>
      </c>
      <c r="H31" s="259">
        <f t="shared" si="9"/>
        <v>2.1111111111111112</v>
      </c>
      <c r="I31" s="273">
        <v>1187</v>
      </c>
      <c r="J31" s="274">
        <v>1245</v>
      </c>
      <c r="K31" s="262">
        <f t="shared" si="0"/>
        <v>4.8899999999999999E-2</v>
      </c>
      <c r="L31" s="263">
        <f t="shared" si="10"/>
        <v>0.5</v>
      </c>
      <c r="M31" s="257">
        <f t="shared" si="11"/>
        <v>-5.3879310344827638E-2</v>
      </c>
      <c r="N31" s="264">
        <f t="shared" si="1"/>
        <v>6.1522941154133104</v>
      </c>
      <c r="O31" s="179">
        <v>560</v>
      </c>
      <c r="P31" s="265">
        <f t="shared" si="2"/>
        <v>1.55E-2</v>
      </c>
      <c r="Q31" s="266">
        <f t="shared" si="3"/>
        <v>7.7</v>
      </c>
      <c r="R31" s="267">
        <f t="shared" si="4"/>
        <v>0.5</v>
      </c>
      <c r="S31" s="268">
        <f t="shared" si="5"/>
        <v>0.59289999999999998</v>
      </c>
      <c r="T31" s="269">
        <f t="shared" si="12"/>
        <v>0.59289999999999998</v>
      </c>
      <c r="U31" s="268">
        <f t="shared" si="6"/>
        <v>0.59289999999999998</v>
      </c>
    </row>
    <row r="32" spans="1:22" ht="15.5" hidden="1" x14ac:dyDescent="0.35">
      <c r="A32" s="272"/>
      <c r="B32" s="254" t="s">
        <v>84</v>
      </c>
      <c r="C32" s="255">
        <v>0.113</v>
      </c>
      <c r="D32" s="256">
        <f t="shared" si="7"/>
        <v>1.0272727272727273</v>
      </c>
      <c r="E32" s="173">
        <v>59922</v>
      </c>
      <c r="F32" s="257">
        <f t="shared" si="8"/>
        <v>1.1389973632388772</v>
      </c>
      <c r="G32" s="258">
        <v>2.5999999999999999E-2</v>
      </c>
      <c r="H32" s="259">
        <f t="shared" si="9"/>
        <v>0.96296296296296291</v>
      </c>
      <c r="I32" s="273">
        <v>20278</v>
      </c>
      <c r="J32" s="274">
        <v>21756</v>
      </c>
      <c r="K32" s="262">
        <f t="shared" si="0"/>
        <v>7.2900000000000006E-2</v>
      </c>
      <c r="L32" s="263">
        <f t="shared" si="10"/>
        <v>0.5</v>
      </c>
      <c r="M32" s="257">
        <f t="shared" si="11"/>
        <v>-0.57112068965517271</v>
      </c>
      <c r="N32" s="264">
        <f t="shared" si="1"/>
        <v>3.6292330534745671</v>
      </c>
      <c r="O32" s="176">
        <v>814</v>
      </c>
      <c r="P32" s="265">
        <f t="shared" si="2"/>
        <v>1.3599999999999999E-2</v>
      </c>
      <c r="Q32" s="266">
        <f t="shared" si="3"/>
        <v>4.99</v>
      </c>
      <c r="R32" s="275">
        <f t="shared" si="4"/>
        <v>0</v>
      </c>
      <c r="S32" s="270">
        <f t="shared" si="5"/>
        <v>0</v>
      </c>
      <c r="T32" s="269" t="str">
        <f t="shared" si="12"/>
        <v xml:space="preserve"> </v>
      </c>
      <c r="U32" s="270">
        <f t="shared" si="6"/>
        <v>0</v>
      </c>
      <c r="V32" s="209" t="s">
        <v>257</v>
      </c>
    </row>
    <row r="33" spans="1:22" ht="15.5" hidden="1" x14ac:dyDescent="0.35">
      <c r="A33" s="272"/>
      <c r="B33" s="254" t="s">
        <v>85</v>
      </c>
      <c r="C33" s="255">
        <v>0.125</v>
      </c>
      <c r="D33" s="256">
        <f t="shared" si="7"/>
        <v>1.1363636363636365</v>
      </c>
      <c r="E33" s="173">
        <v>41842</v>
      </c>
      <c r="F33" s="257">
        <f t="shared" si="8"/>
        <v>1.6311600783901343</v>
      </c>
      <c r="G33" s="258">
        <v>4.1000000000000002E-2</v>
      </c>
      <c r="H33" s="259">
        <f t="shared" si="9"/>
        <v>1.5185185185185186</v>
      </c>
      <c r="I33" s="273">
        <v>4921</v>
      </c>
      <c r="J33" s="274">
        <v>5028</v>
      </c>
      <c r="K33" s="262">
        <f t="shared" si="0"/>
        <v>2.1700000000000001E-2</v>
      </c>
      <c r="L33" s="263">
        <f t="shared" si="10"/>
        <v>1</v>
      </c>
      <c r="M33" s="257">
        <f t="shared" si="11"/>
        <v>0.53232758620689646</v>
      </c>
      <c r="N33" s="264">
        <f t="shared" si="1"/>
        <v>5.2860422332722887</v>
      </c>
      <c r="O33" s="177">
        <v>622</v>
      </c>
      <c r="P33" s="265">
        <f t="shared" si="2"/>
        <v>1.49E-2</v>
      </c>
      <c r="Q33" s="266">
        <f t="shared" si="3"/>
        <v>6.78</v>
      </c>
      <c r="R33" s="267">
        <f t="shared" si="4"/>
        <v>0.25</v>
      </c>
      <c r="S33" s="268">
        <f t="shared" si="5"/>
        <v>0.4597</v>
      </c>
      <c r="T33" s="269" t="str">
        <f t="shared" si="12"/>
        <v xml:space="preserve"> </v>
      </c>
      <c r="U33" s="270">
        <f t="shared" si="6"/>
        <v>0</v>
      </c>
      <c r="V33" s="209" t="s">
        <v>258</v>
      </c>
    </row>
    <row r="34" spans="1:22" ht="15.5" x14ac:dyDescent="0.35">
      <c r="A34" s="272"/>
      <c r="B34" s="254" t="s">
        <v>86</v>
      </c>
      <c r="C34" s="255">
        <v>0.16300000000000001</v>
      </c>
      <c r="D34" s="256">
        <f t="shared" si="7"/>
        <v>1.4818181818181819</v>
      </c>
      <c r="E34" s="173">
        <v>45250</v>
      </c>
      <c r="F34" s="257">
        <f t="shared" si="8"/>
        <v>1.5083093922651933</v>
      </c>
      <c r="G34" s="277">
        <v>5.2999999999999999E-2</v>
      </c>
      <c r="H34" s="278">
        <f t="shared" si="9"/>
        <v>1.962962962962963</v>
      </c>
      <c r="I34" s="273">
        <v>3084</v>
      </c>
      <c r="J34" s="274">
        <v>3116</v>
      </c>
      <c r="K34" s="262">
        <f t="shared" si="0"/>
        <v>1.04E-2</v>
      </c>
      <c r="L34" s="263">
        <f t="shared" si="10"/>
        <v>1</v>
      </c>
      <c r="M34" s="257">
        <f t="shared" si="11"/>
        <v>0.77586206896551724</v>
      </c>
      <c r="N34" s="264">
        <f t="shared" si="1"/>
        <v>5.9530905370463385</v>
      </c>
      <c r="O34" s="468">
        <v>763</v>
      </c>
      <c r="P34" s="265">
        <f t="shared" si="2"/>
        <v>1.6899999999999998E-2</v>
      </c>
      <c r="Q34" s="266">
        <f t="shared" si="3"/>
        <v>7.64</v>
      </c>
      <c r="R34" s="267">
        <f t="shared" si="4"/>
        <v>0.5</v>
      </c>
      <c r="S34" s="268">
        <f t="shared" si="5"/>
        <v>0.5837</v>
      </c>
      <c r="T34" s="269">
        <f t="shared" si="12"/>
        <v>0.5837</v>
      </c>
      <c r="U34" s="268">
        <f t="shared" si="6"/>
        <v>0.5837</v>
      </c>
    </row>
    <row r="35" spans="1:22" ht="15.5" hidden="1" x14ac:dyDescent="0.35">
      <c r="A35" s="272"/>
      <c r="B35" s="254" t="s">
        <v>87</v>
      </c>
      <c r="C35" s="255">
        <v>0.127</v>
      </c>
      <c r="D35" s="256">
        <f t="shared" si="7"/>
        <v>1.1545454545454545</v>
      </c>
      <c r="E35" s="173">
        <v>63683</v>
      </c>
      <c r="F35" s="257">
        <f t="shared" si="8"/>
        <v>1.0717302890881397</v>
      </c>
      <c r="G35" s="277">
        <v>3.0000000000000001E-3</v>
      </c>
      <c r="H35" s="278">
        <f t="shared" si="9"/>
        <v>0.11111111111111112</v>
      </c>
      <c r="I35" s="273">
        <v>4783</v>
      </c>
      <c r="J35" s="274">
        <v>4903</v>
      </c>
      <c r="K35" s="262">
        <f t="shared" si="0"/>
        <v>2.5100000000000001E-2</v>
      </c>
      <c r="L35" s="263">
        <f t="shared" si="10"/>
        <v>1</v>
      </c>
      <c r="M35" s="257">
        <f t="shared" si="11"/>
        <v>0.45905172413793099</v>
      </c>
      <c r="N35" s="264">
        <f t="shared" si="1"/>
        <v>3.3373868547447052</v>
      </c>
      <c r="O35" s="175">
        <v>650</v>
      </c>
      <c r="P35" s="265">
        <f t="shared" si="2"/>
        <v>1.0200000000000001E-2</v>
      </c>
      <c r="Q35" s="266">
        <f t="shared" si="3"/>
        <v>4.3600000000000003</v>
      </c>
      <c r="R35" s="275">
        <f t="shared" si="4"/>
        <v>0</v>
      </c>
      <c r="S35" s="270">
        <f t="shared" si="5"/>
        <v>0</v>
      </c>
      <c r="T35" s="269" t="str">
        <f t="shared" si="12"/>
        <v xml:space="preserve"> </v>
      </c>
      <c r="U35" s="270">
        <f t="shared" si="6"/>
        <v>0</v>
      </c>
      <c r="V35" s="209" t="s">
        <v>259</v>
      </c>
    </row>
    <row r="36" spans="1:22" ht="15.5" hidden="1" x14ac:dyDescent="0.35">
      <c r="A36" s="279">
        <v>2</v>
      </c>
      <c r="B36" s="254" t="s">
        <v>88</v>
      </c>
      <c r="C36" s="255">
        <v>0.157</v>
      </c>
      <c r="D36" s="256">
        <f t="shared" si="7"/>
        <v>1.4272727272727272</v>
      </c>
      <c r="E36" s="173">
        <v>54643</v>
      </c>
      <c r="F36" s="257">
        <f t="shared" si="8"/>
        <v>1.2490346430466848</v>
      </c>
      <c r="G36" s="277">
        <v>3.4000000000000002E-2</v>
      </c>
      <c r="H36" s="278">
        <f t="shared" si="9"/>
        <v>1.2592592592592593</v>
      </c>
      <c r="I36" s="273">
        <v>1098</v>
      </c>
      <c r="J36" s="274">
        <v>1005</v>
      </c>
      <c r="K36" s="262">
        <f t="shared" si="0"/>
        <v>-8.4699999999999998E-2</v>
      </c>
      <c r="L36" s="263">
        <f t="shared" si="10"/>
        <v>2</v>
      </c>
      <c r="M36" s="257">
        <f t="shared" si="11"/>
        <v>2.8254310344827589</v>
      </c>
      <c r="N36" s="264">
        <f t="shared" si="1"/>
        <v>5.9355666295786715</v>
      </c>
      <c r="O36" s="174">
        <v>321.60000000000002</v>
      </c>
      <c r="P36" s="265">
        <f t="shared" si="2"/>
        <v>5.8999999999999999E-3</v>
      </c>
      <c r="Q36" s="266">
        <f t="shared" si="3"/>
        <v>6.53</v>
      </c>
      <c r="R36" s="275">
        <f t="shared" si="4"/>
        <v>0.25</v>
      </c>
      <c r="S36" s="270">
        <f t="shared" si="5"/>
        <v>0.4264</v>
      </c>
      <c r="T36" s="269" t="str">
        <f t="shared" si="12"/>
        <v xml:space="preserve"> </v>
      </c>
      <c r="U36" s="270">
        <f t="shared" si="6"/>
        <v>0</v>
      </c>
    </row>
    <row r="37" spans="1:22" ht="15.5" hidden="1" x14ac:dyDescent="0.35">
      <c r="A37" s="276"/>
      <c r="B37" s="254" t="s">
        <v>89</v>
      </c>
      <c r="C37" s="255">
        <v>4.0999999999999995E-2</v>
      </c>
      <c r="D37" s="256">
        <f t="shared" si="7"/>
        <v>0.37272727272727268</v>
      </c>
      <c r="E37" s="173">
        <v>123116</v>
      </c>
      <c r="F37" s="257">
        <f t="shared" si="8"/>
        <v>0.55436336463172942</v>
      </c>
      <c r="G37" s="258">
        <v>5.0000000000000001E-3</v>
      </c>
      <c r="H37" s="259">
        <f t="shared" si="9"/>
        <v>0.1851851851851852</v>
      </c>
      <c r="I37" s="273">
        <v>9304</v>
      </c>
      <c r="J37" s="274">
        <v>9065</v>
      </c>
      <c r="K37" s="262">
        <f t="shared" si="0"/>
        <v>-2.5700000000000001E-2</v>
      </c>
      <c r="L37" s="263">
        <f t="shared" si="10"/>
        <v>1.5</v>
      </c>
      <c r="M37" s="257">
        <f t="shared" si="11"/>
        <v>1.5538793103448276</v>
      </c>
      <c r="N37" s="264">
        <f t="shared" si="1"/>
        <v>2.6122758225441873</v>
      </c>
      <c r="O37" s="174">
        <v>873</v>
      </c>
      <c r="P37" s="265">
        <f t="shared" si="2"/>
        <v>7.1000000000000004E-3</v>
      </c>
      <c r="Q37" s="266">
        <f t="shared" si="3"/>
        <v>3.32</v>
      </c>
      <c r="R37" s="275">
        <f t="shared" si="4"/>
        <v>0</v>
      </c>
      <c r="S37" s="270">
        <f t="shared" si="5"/>
        <v>0</v>
      </c>
      <c r="T37" s="269" t="str">
        <f t="shared" si="12"/>
        <v xml:space="preserve"> </v>
      </c>
      <c r="U37" s="270">
        <f t="shared" si="6"/>
        <v>0</v>
      </c>
    </row>
    <row r="38" spans="1:22" ht="15.5" x14ac:dyDescent="0.35">
      <c r="A38" s="272"/>
      <c r="B38" s="254" t="s">
        <v>90</v>
      </c>
      <c r="C38" s="255">
        <v>0.13600000000000001</v>
      </c>
      <c r="D38" s="256">
        <f t="shared" si="7"/>
        <v>1.2363636363636366</v>
      </c>
      <c r="E38" s="173">
        <v>47803</v>
      </c>
      <c r="F38" s="257">
        <f t="shared" si="8"/>
        <v>1.4277555801937116</v>
      </c>
      <c r="G38" s="670">
        <v>1.0999999999999999E-2</v>
      </c>
      <c r="H38" s="259">
        <f t="shared" si="9"/>
        <v>0.40740740740740738</v>
      </c>
      <c r="I38" s="273">
        <v>8046</v>
      </c>
      <c r="J38" s="274">
        <v>7441</v>
      </c>
      <c r="K38" s="262">
        <f t="shared" si="0"/>
        <v>-7.5200000000000003E-2</v>
      </c>
      <c r="L38" s="263">
        <f t="shared" si="10"/>
        <v>2</v>
      </c>
      <c r="M38" s="257">
        <f t="shared" si="11"/>
        <v>2.6206896551724141</v>
      </c>
      <c r="N38" s="264">
        <f t="shared" si="1"/>
        <v>5.0715266239647558</v>
      </c>
      <c r="O38" s="468">
        <v>442</v>
      </c>
      <c r="P38" s="265">
        <f t="shared" si="2"/>
        <v>9.1999999999999998E-3</v>
      </c>
      <c r="Q38" s="266">
        <f t="shared" si="3"/>
        <v>5.99</v>
      </c>
      <c r="R38" s="275">
        <f t="shared" si="4"/>
        <v>0</v>
      </c>
      <c r="S38" s="270">
        <f t="shared" si="5"/>
        <v>0</v>
      </c>
      <c r="T38" s="269" t="str">
        <f t="shared" si="12"/>
        <v xml:space="preserve"> </v>
      </c>
      <c r="U38" s="270">
        <f t="shared" si="6"/>
        <v>0</v>
      </c>
    </row>
    <row r="39" spans="1:22" ht="15.5" hidden="1" x14ac:dyDescent="0.35">
      <c r="A39" s="272"/>
      <c r="B39" s="254" t="s">
        <v>91</v>
      </c>
      <c r="C39" s="255">
        <v>0.02</v>
      </c>
      <c r="D39" s="256">
        <f t="shared" si="7"/>
        <v>0.18181818181818182</v>
      </c>
      <c r="E39" s="173">
        <v>61250</v>
      </c>
      <c r="F39" s="257">
        <f t="shared" si="8"/>
        <v>1.1143020408163264</v>
      </c>
      <c r="G39" s="277">
        <v>7.0000000000000001E-3</v>
      </c>
      <c r="H39" s="278">
        <f t="shared" si="9"/>
        <v>0.25925925925925924</v>
      </c>
      <c r="I39" s="273">
        <v>787</v>
      </c>
      <c r="J39" s="274">
        <v>755</v>
      </c>
      <c r="K39" s="262">
        <f t="shared" si="0"/>
        <v>-4.07E-2</v>
      </c>
      <c r="L39" s="263">
        <f t="shared" si="10"/>
        <v>1.5</v>
      </c>
      <c r="M39" s="257">
        <f t="shared" si="11"/>
        <v>1.8771551724137931</v>
      </c>
      <c r="N39" s="264">
        <f t="shared" si="1"/>
        <v>3.0553794818937678</v>
      </c>
      <c r="O39" s="174">
        <v>266</v>
      </c>
      <c r="P39" s="265">
        <f t="shared" si="2"/>
        <v>4.3E-3</v>
      </c>
      <c r="Q39" s="266">
        <f t="shared" si="3"/>
        <v>3.49</v>
      </c>
      <c r="R39" s="275">
        <f t="shared" si="4"/>
        <v>0</v>
      </c>
      <c r="S39" s="270">
        <f t="shared" si="5"/>
        <v>0</v>
      </c>
      <c r="T39" s="269" t="str">
        <f t="shared" si="12"/>
        <v xml:space="preserve"> </v>
      </c>
      <c r="U39" s="270">
        <f t="shared" si="6"/>
        <v>0</v>
      </c>
    </row>
    <row r="40" spans="1:22" ht="15.5" hidden="1" x14ac:dyDescent="0.35">
      <c r="A40" s="272"/>
      <c r="B40" s="254" t="s">
        <v>372</v>
      </c>
      <c r="C40" s="255">
        <v>8.0000000000000002E-3</v>
      </c>
      <c r="D40" s="256">
        <f t="shared" si="7"/>
        <v>7.2727272727272724E-2</v>
      </c>
      <c r="E40" s="180">
        <v>85556</v>
      </c>
      <c r="F40" s="257">
        <f t="shared" si="8"/>
        <v>0.79773481696198978</v>
      </c>
      <c r="G40" s="258">
        <v>0.01</v>
      </c>
      <c r="H40" s="259">
        <f t="shared" si="9"/>
        <v>0.37037037037037041</v>
      </c>
      <c r="I40" s="273">
        <v>1365</v>
      </c>
      <c r="J40" s="274">
        <v>1108</v>
      </c>
      <c r="K40" s="262">
        <f t="shared" si="0"/>
        <v>-0.1883</v>
      </c>
      <c r="L40" s="263">
        <f t="shared" si="10"/>
        <v>3</v>
      </c>
      <c r="M40" s="257">
        <f t="shared" si="11"/>
        <v>5.0581896551724137</v>
      </c>
      <c r="N40" s="264">
        <f t="shared" si="1"/>
        <v>4.2408324600596332</v>
      </c>
      <c r="O40" s="177">
        <v>960</v>
      </c>
      <c r="P40" s="265">
        <f t="shared" si="2"/>
        <v>1.12E-2</v>
      </c>
      <c r="Q40" s="266">
        <f t="shared" si="3"/>
        <v>5.36</v>
      </c>
      <c r="R40" s="267">
        <f t="shared" si="4"/>
        <v>0</v>
      </c>
      <c r="S40" s="268">
        <f t="shared" si="5"/>
        <v>0</v>
      </c>
      <c r="T40" s="269" t="str">
        <f t="shared" si="12"/>
        <v xml:space="preserve"> </v>
      </c>
      <c r="U40" s="268">
        <f t="shared" si="6"/>
        <v>0</v>
      </c>
      <c r="V40" s="209" t="s">
        <v>260</v>
      </c>
    </row>
    <row r="41" spans="1:22" ht="15.5" x14ac:dyDescent="0.35">
      <c r="A41" s="272"/>
      <c r="B41" s="254" t="s">
        <v>373</v>
      </c>
      <c r="C41" s="255">
        <v>4.9000000000000002E-2</v>
      </c>
      <c r="D41" s="256">
        <f t="shared" si="7"/>
        <v>0.44545454545454549</v>
      </c>
      <c r="E41" s="180">
        <v>67295</v>
      </c>
      <c r="F41" s="257">
        <f t="shared" si="8"/>
        <v>1.0142061074374025</v>
      </c>
      <c r="G41" s="670">
        <v>0</v>
      </c>
      <c r="H41" s="259">
        <f t="shared" si="9"/>
        <v>0</v>
      </c>
      <c r="I41" s="273">
        <v>3432</v>
      </c>
      <c r="J41" s="274">
        <v>3387</v>
      </c>
      <c r="K41" s="262">
        <f t="shared" si="0"/>
        <v>-1.3100000000000001E-2</v>
      </c>
      <c r="L41" s="263">
        <f t="shared" si="10"/>
        <v>1.5</v>
      </c>
      <c r="M41" s="257">
        <f t="shared" si="11"/>
        <v>1.2823275862068966</v>
      </c>
      <c r="N41" s="264">
        <f t="shared" si="1"/>
        <v>2.959660652891948</v>
      </c>
      <c r="O41" s="468">
        <v>514</v>
      </c>
      <c r="P41" s="265">
        <f t="shared" si="2"/>
        <v>7.6E-3</v>
      </c>
      <c r="Q41" s="266">
        <f t="shared" si="3"/>
        <v>3.72</v>
      </c>
      <c r="R41" s="275">
        <f t="shared" si="4"/>
        <v>0</v>
      </c>
      <c r="S41" s="270">
        <f t="shared" si="5"/>
        <v>0</v>
      </c>
      <c r="T41" s="269" t="str">
        <f t="shared" si="12"/>
        <v xml:space="preserve"> </v>
      </c>
      <c r="U41" s="270">
        <f t="shared" si="6"/>
        <v>0</v>
      </c>
      <c r="V41" s="209" t="s">
        <v>261</v>
      </c>
    </row>
    <row r="42" spans="1:22" ht="15.5" x14ac:dyDescent="0.35">
      <c r="A42" s="272"/>
      <c r="B42" s="254" t="s">
        <v>374</v>
      </c>
      <c r="C42" s="255">
        <v>0.112</v>
      </c>
      <c r="D42" s="256">
        <f t="shared" si="7"/>
        <v>1.0181818181818183</v>
      </c>
      <c r="E42" s="173">
        <v>44286</v>
      </c>
      <c r="F42" s="257">
        <f t="shared" si="8"/>
        <v>1.5411416700537417</v>
      </c>
      <c r="G42" s="670">
        <v>9.1999999999999998E-2</v>
      </c>
      <c r="H42" s="259">
        <f t="shared" si="9"/>
        <v>3.4074074074074074</v>
      </c>
      <c r="I42" s="273">
        <v>2190</v>
      </c>
      <c r="J42" s="274">
        <v>2233</v>
      </c>
      <c r="K42" s="262">
        <f t="shared" si="0"/>
        <v>1.9599999999999999E-2</v>
      </c>
      <c r="L42" s="263">
        <f t="shared" si="10"/>
        <v>1</v>
      </c>
      <c r="M42" s="257">
        <f t="shared" si="11"/>
        <v>0.57758620689655171</v>
      </c>
      <c r="N42" s="264">
        <f t="shared" si="1"/>
        <v>6.9667308956429679</v>
      </c>
      <c r="O42" s="468">
        <v>857</v>
      </c>
      <c r="P42" s="265">
        <f t="shared" si="2"/>
        <v>1.9400000000000001E-2</v>
      </c>
      <c r="Q42" s="266">
        <f t="shared" si="3"/>
        <v>8.91</v>
      </c>
      <c r="R42" s="275">
        <f t="shared" si="4"/>
        <v>0.75</v>
      </c>
      <c r="S42" s="270">
        <f t="shared" si="5"/>
        <v>0.79390000000000005</v>
      </c>
      <c r="T42" s="269">
        <f t="shared" si="12"/>
        <v>0.79390000000000005</v>
      </c>
      <c r="U42" s="270">
        <f t="shared" si="6"/>
        <v>0.79390000000000005</v>
      </c>
    </row>
    <row r="43" spans="1:22" ht="15.5" hidden="1" x14ac:dyDescent="0.35">
      <c r="A43" s="272"/>
      <c r="B43" s="254" t="s">
        <v>92</v>
      </c>
      <c r="C43" s="255">
        <v>0.126</v>
      </c>
      <c r="D43" s="256">
        <f t="shared" si="7"/>
        <v>1.1454545454545455</v>
      </c>
      <c r="E43" s="173">
        <v>50074</v>
      </c>
      <c r="F43" s="257">
        <f t="shared" si="8"/>
        <v>1.3630027559212365</v>
      </c>
      <c r="G43" s="258">
        <v>4.3999999999999997E-2</v>
      </c>
      <c r="H43" s="259">
        <f t="shared" si="9"/>
        <v>1.6296296296296295</v>
      </c>
      <c r="I43" s="273">
        <v>1421</v>
      </c>
      <c r="J43" s="274">
        <v>1399</v>
      </c>
      <c r="K43" s="262">
        <f t="shared" si="0"/>
        <v>-1.55E-2</v>
      </c>
      <c r="L43" s="263">
        <f t="shared" si="10"/>
        <v>1.5</v>
      </c>
      <c r="M43" s="257">
        <f t="shared" si="11"/>
        <v>1.334051724137931</v>
      </c>
      <c r="N43" s="264">
        <f t="shared" si="1"/>
        <v>5.6380869310054118</v>
      </c>
      <c r="O43" s="179">
        <v>313</v>
      </c>
      <c r="P43" s="265">
        <f t="shared" si="2"/>
        <v>6.3E-3</v>
      </c>
      <c r="Q43" s="266">
        <f t="shared" si="3"/>
        <v>6.27</v>
      </c>
      <c r="R43" s="275">
        <f t="shared" si="4"/>
        <v>0.25</v>
      </c>
      <c r="S43" s="270">
        <f t="shared" si="5"/>
        <v>0.3931</v>
      </c>
      <c r="T43" s="269" t="str">
        <f t="shared" si="12"/>
        <v xml:space="preserve"> </v>
      </c>
      <c r="U43" s="270">
        <f t="shared" si="6"/>
        <v>0</v>
      </c>
    </row>
    <row r="44" spans="1:22" ht="15.5" hidden="1" x14ac:dyDescent="0.35">
      <c r="A44" s="272"/>
      <c r="B44" s="254" t="s">
        <v>375</v>
      </c>
      <c r="C44" s="255">
        <v>7.5999999999999998E-2</v>
      </c>
      <c r="D44" s="256">
        <f t="shared" si="7"/>
        <v>0.69090909090909092</v>
      </c>
      <c r="E44" s="173">
        <v>106633</v>
      </c>
      <c r="F44" s="257">
        <f t="shared" si="8"/>
        <v>0.64005514240432138</v>
      </c>
      <c r="G44" s="258">
        <v>2.5999999999999999E-2</v>
      </c>
      <c r="H44" s="259">
        <f t="shared" si="9"/>
        <v>0.96296296296296291</v>
      </c>
      <c r="I44" s="273">
        <v>7254</v>
      </c>
      <c r="J44" s="274">
        <v>8545</v>
      </c>
      <c r="K44" s="262">
        <f t="shared" si="0"/>
        <v>0.17799999999999999</v>
      </c>
      <c r="L44" s="263">
        <f t="shared" si="10"/>
        <v>0</v>
      </c>
      <c r="M44" s="257">
        <f t="shared" si="11"/>
        <v>-2.8362068965517242</v>
      </c>
      <c r="N44" s="264">
        <f t="shared" si="1"/>
        <v>2.2939271962763752</v>
      </c>
      <c r="O44" s="174">
        <v>834</v>
      </c>
      <c r="P44" s="265">
        <f t="shared" si="2"/>
        <v>7.7999999999999996E-3</v>
      </c>
      <c r="Q44" s="266">
        <f t="shared" si="3"/>
        <v>3.07</v>
      </c>
      <c r="R44" s="275">
        <f t="shared" si="4"/>
        <v>0</v>
      </c>
      <c r="S44" s="270">
        <f t="shared" si="5"/>
        <v>0</v>
      </c>
      <c r="T44" s="269" t="str">
        <f t="shared" si="12"/>
        <v xml:space="preserve"> </v>
      </c>
      <c r="U44" s="270">
        <f t="shared" si="6"/>
        <v>0</v>
      </c>
    </row>
    <row r="45" spans="1:22" ht="15.5" hidden="1" x14ac:dyDescent="0.35">
      <c r="A45" s="272"/>
      <c r="B45" s="254" t="s">
        <v>262</v>
      </c>
      <c r="C45" s="255">
        <v>0.185</v>
      </c>
      <c r="D45" s="256">
        <f t="shared" si="7"/>
        <v>1.6818181818181819</v>
      </c>
      <c r="E45" s="173">
        <v>60000</v>
      </c>
      <c r="F45" s="257">
        <f t="shared" si="8"/>
        <v>1.1375166666666667</v>
      </c>
      <c r="G45" s="258">
        <v>3.4000000000000002E-2</v>
      </c>
      <c r="H45" s="259">
        <f t="shared" si="9"/>
        <v>1.2592592592592593</v>
      </c>
      <c r="I45" s="273">
        <v>2151</v>
      </c>
      <c r="J45" s="274">
        <v>2221</v>
      </c>
      <c r="K45" s="262">
        <f t="shared" si="0"/>
        <v>3.2500000000000001E-2</v>
      </c>
      <c r="L45" s="263">
        <f t="shared" si="10"/>
        <v>1</v>
      </c>
      <c r="M45" s="257">
        <f t="shared" si="11"/>
        <v>0.29956896551724133</v>
      </c>
      <c r="N45" s="264">
        <f t="shared" si="1"/>
        <v>5.0785941077441077</v>
      </c>
      <c r="O45" s="174">
        <v>512</v>
      </c>
      <c r="P45" s="265">
        <f t="shared" si="2"/>
        <v>8.5000000000000006E-3</v>
      </c>
      <c r="Q45" s="266">
        <f t="shared" si="3"/>
        <v>5.93</v>
      </c>
      <c r="R45" s="275">
        <f t="shared" si="4"/>
        <v>0</v>
      </c>
      <c r="S45" s="270">
        <f t="shared" si="5"/>
        <v>0</v>
      </c>
      <c r="T45" s="269" t="str">
        <f t="shared" si="12"/>
        <v xml:space="preserve"> </v>
      </c>
      <c r="U45" s="270">
        <f t="shared" si="6"/>
        <v>0</v>
      </c>
      <c r="V45" s="209" t="s">
        <v>263</v>
      </c>
    </row>
    <row r="46" spans="1:22" ht="15.5" hidden="1" x14ac:dyDescent="0.35">
      <c r="A46" s="272"/>
      <c r="B46" s="254" t="s">
        <v>93</v>
      </c>
      <c r="C46" s="255">
        <v>0.26200000000000001</v>
      </c>
      <c r="D46" s="256">
        <f t="shared" si="7"/>
        <v>2.3818181818181818</v>
      </c>
      <c r="E46" s="173">
        <v>31458</v>
      </c>
      <c r="F46" s="257">
        <f t="shared" si="8"/>
        <v>2.169591200966368</v>
      </c>
      <c r="G46" s="277">
        <v>4.8000000000000001E-2</v>
      </c>
      <c r="H46" s="278">
        <f t="shared" si="9"/>
        <v>1.7777777777777779</v>
      </c>
      <c r="I46" s="273">
        <v>589</v>
      </c>
      <c r="J46" s="274">
        <v>587</v>
      </c>
      <c r="K46" s="262">
        <f t="shared" si="0"/>
        <v>-3.3999999999999998E-3</v>
      </c>
      <c r="L46" s="263">
        <f t="shared" si="10"/>
        <v>1</v>
      </c>
      <c r="M46" s="257">
        <f t="shared" si="11"/>
        <v>1.0732758620689655</v>
      </c>
      <c r="N46" s="264">
        <f t="shared" si="1"/>
        <v>7.329187160562328</v>
      </c>
      <c r="O46" s="176">
        <v>870</v>
      </c>
      <c r="P46" s="265">
        <f t="shared" si="2"/>
        <v>2.7699999999999999E-2</v>
      </c>
      <c r="Q46" s="266">
        <f t="shared" si="3"/>
        <v>10.1</v>
      </c>
      <c r="R46" s="267">
        <f t="shared" si="4"/>
        <v>1</v>
      </c>
      <c r="S46" s="268">
        <f t="shared" si="5"/>
        <v>1</v>
      </c>
      <c r="T46" s="269">
        <f t="shared" si="12"/>
        <v>1</v>
      </c>
      <c r="U46" s="268">
        <f t="shared" si="6"/>
        <v>1</v>
      </c>
    </row>
    <row r="47" spans="1:22" ht="15.5" x14ac:dyDescent="0.35">
      <c r="A47" s="272"/>
      <c r="B47" s="254" t="s">
        <v>94</v>
      </c>
      <c r="C47" s="255">
        <v>0.14799999999999999</v>
      </c>
      <c r="D47" s="256">
        <f t="shared" si="7"/>
        <v>1.3454545454545455</v>
      </c>
      <c r="E47" s="173">
        <v>42473</v>
      </c>
      <c r="F47" s="257">
        <f t="shared" si="8"/>
        <v>1.6069267534669085</v>
      </c>
      <c r="G47" s="670">
        <v>2.8000000000000001E-2</v>
      </c>
      <c r="H47" s="259">
        <f t="shared" si="9"/>
        <v>1.037037037037037</v>
      </c>
      <c r="I47" s="273">
        <v>3841</v>
      </c>
      <c r="J47" s="274">
        <v>3815</v>
      </c>
      <c r="K47" s="262">
        <f t="shared" si="0"/>
        <v>-6.7999999999999996E-3</v>
      </c>
      <c r="L47" s="263">
        <f t="shared" si="10"/>
        <v>1.5</v>
      </c>
      <c r="M47" s="257">
        <f t="shared" si="11"/>
        <v>1.146551724137931</v>
      </c>
      <c r="N47" s="264">
        <f t="shared" si="1"/>
        <v>5.4894183359584909</v>
      </c>
      <c r="O47" s="468">
        <v>544</v>
      </c>
      <c r="P47" s="265">
        <f t="shared" si="2"/>
        <v>1.2800000000000001E-2</v>
      </c>
      <c r="Q47" s="266">
        <f t="shared" si="3"/>
        <v>6.77</v>
      </c>
      <c r="R47" s="267">
        <f t="shared" si="4"/>
        <v>0.25</v>
      </c>
      <c r="S47" s="268">
        <f t="shared" si="5"/>
        <v>0.45829999999999999</v>
      </c>
      <c r="T47" s="269" t="str">
        <f t="shared" si="12"/>
        <v xml:space="preserve"> </v>
      </c>
      <c r="U47" s="270">
        <f t="shared" si="6"/>
        <v>0</v>
      </c>
      <c r="V47" s="209" t="s">
        <v>264</v>
      </c>
    </row>
    <row r="48" spans="1:22" ht="15.5" hidden="1" x14ac:dyDescent="0.35">
      <c r="A48" s="272"/>
      <c r="B48" s="254" t="s">
        <v>95</v>
      </c>
      <c r="C48" s="255">
        <v>0.30099999999999999</v>
      </c>
      <c r="D48" s="256">
        <f t="shared" si="7"/>
        <v>2.7363636363636363</v>
      </c>
      <c r="E48" s="173">
        <v>34722</v>
      </c>
      <c r="F48" s="257">
        <f t="shared" si="8"/>
        <v>1.9656413801048327</v>
      </c>
      <c r="G48" s="258">
        <v>4.5999999999999999E-2</v>
      </c>
      <c r="H48" s="259">
        <f t="shared" si="9"/>
        <v>1.7037037037037037</v>
      </c>
      <c r="I48" s="273">
        <v>2486</v>
      </c>
      <c r="J48" s="274">
        <v>2562</v>
      </c>
      <c r="K48" s="262">
        <f t="shared" si="0"/>
        <v>3.0599999999999999E-2</v>
      </c>
      <c r="L48" s="263">
        <f t="shared" si="10"/>
        <v>1</v>
      </c>
      <c r="M48" s="257">
        <f t="shared" si="11"/>
        <v>0.34051724137931033</v>
      </c>
      <c r="N48" s="264">
        <f t="shared" si="1"/>
        <v>7.4057087201721732</v>
      </c>
      <c r="O48" s="174">
        <v>381</v>
      </c>
      <c r="P48" s="265">
        <f t="shared" si="2"/>
        <v>1.0999999999999999E-2</v>
      </c>
      <c r="Q48" s="266">
        <f t="shared" si="3"/>
        <v>8.51</v>
      </c>
      <c r="R48" s="267">
        <f t="shared" si="4"/>
        <v>0.5</v>
      </c>
      <c r="S48" s="268">
        <f t="shared" si="5"/>
        <v>0.72419999999999995</v>
      </c>
      <c r="T48" s="269">
        <f t="shared" si="12"/>
        <v>0.72419999999999995</v>
      </c>
      <c r="U48" s="270">
        <f t="shared" si="6"/>
        <v>0.72419999999999995</v>
      </c>
      <c r="V48" s="209" t="s">
        <v>265</v>
      </c>
    </row>
    <row r="49" spans="1:22" ht="15.5" hidden="1" x14ac:dyDescent="0.35">
      <c r="A49" s="272"/>
      <c r="B49" s="254" t="s">
        <v>96</v>
      </c>
      <c r="C49" s="255">
        <v>0.20499999999999999</v>
      </c>
      <c r="D49" s="256">
        <f t="shared" si="7"/>
        <v>1.8636363636363635</v>
      </c>
      <c r="E49" s="173">
        <v>35521</v>
      </c>
      <c r="F49" s="257">
        <f t="shared" si="8"/>
        <v>1.9214267616339631</v>
      </c>
      <c r="G49" s="258">
        <v>1.7000000000000001E-2</v>
      </c>
      <c r="H49" s="259">
        <f t="shared" si="9"/>
        <v>0.62962962962962965</v>
      </c>
      <c r="I49" s="273">
        <v>4037</v>
      </c>
      <c r="J49" s="274">
        <v>4193</v>
      </c>
      <c r="K49" s="262">
        <f t="shared" si="0"/>
        <v>3.8600000000000002E-2</v>
      </c>
      <c r="L49" s="263">
        <f t="shared" si="10"/>
        <v>1</v>
      </c>
      <c r="M49" s="257">
        <f t="shared" si="11"/>
        <v>0.16810344827586196</v>
      </c>
      <c r="N49" s="264">
        <f t="shared" si="1"/>
        <v>5.4146927548999564</v>
      </c>
      <c r="O49" s="174">
        <v>658.44</v>
      </c>
      <c r="P49" s="265">
        <f t="shared" si="2"/>
        <v>1.8499999999999999E-2</v>
      </c>
      <c r="Q49" s="266">
        <f t="shared" si="3"/>
        <v>7.26</v>
      </c>
      <c r="R49" s="267">
        <f t="shared" si="4"/>
        <v>0.25</v>
      </c>
      <c r="S49" s="268">
        <f t="shared" si="5"/>
        <v>0.52710000000000001</v>
      </c>
      <c r="T49" s="269">
        <f t="shared" si="12"/>
        <v>0.52710000000000001</v>
      </c>
      <c r="U49" s="270">
        <f t="shared" si="6"/>
        <v>0</v>
      </c>
      <c r="V49" s="209" t="s">
        <v>266</v>
      </c>
    </row>
    <row r="50" spans="1:22" ht="15.5" x14ac:dyDescent="0.35">
      <c r="A50" s="272"/>
      <c r="B50" s="254" t="s">
        <v>97</v>
      </c>
      <c r="C50" s="255">
        <v>9.4E-2</v>
      </c>
      <c r="D50" s="256">
        <f t="shared" si="7"/>
        <v>0.8545454545454545</v>
      </c>
      <c r="E50" s="173">
        <v>35313</v>
      </c>
      <c r="F50" s="257">
        <f t="shared" si="8"/>
        <v>1.9327443151247417</v>
      </c>
      <c r="G50" s="277">
        <v>2.5000000000000001E-2</v>
      </c>
      <c r="H50" s="278">
        <f t="shared" si="9"/>
        <v>0.92592592592592604</v>
      </c>
      <c r="I50" s="273">
        <v>853</v>
      </c>
      <c r="J50" s="274">
        <v>768</v>
      </c>
      <c r="K50" s="262">
        <f t="shared" si="0"/>
        <v>-9.9599999999999994E-2</v>
      </c>
      <c r="L50" s="263">
        <f t="shared" si="10"/>
        <v>2</v>
      </c>
      <c r="M50" s="257">
        <f t="shared" si="11"/>
        <v>3.146551724137931</v>
      </c>
      <c r="N50" s="264">
        <f t="shared" si="1"/>
        <v>5.7132156955961229</v>
      </c>
      <c r="O50" s="468">
        <v>1055</v>
      </c>
      <c r="P50" s="265">
        <f t="shared" si="2"/>
        <v>2.9899999999999999E-2</v>
      </c>
      <c r="Q50" s="266">
        <f t="shared" si="3"/>
        <v>8.6999999999999993</v>
      </c>
      <c r="R50" s="275">
        <f t="shared" si="4"/>
        <v>0.5</v>
      </c>
      <c r="S50" s="270">
        <f t="shared" si="5"/>
        <v>0.75690000000000002</v>
      </c>
      <c r="T50" s="269">
        <f t="shared" si="12"/>
        <v>0.75690000000000002</v>
      </c>
      <c r="U50" s="270">
        <f t="shared" si="6"/>
        <v>0.75690000000000002</v>
      </c>
      <c r="V50" s="671" t="s">
        <v>1100</v>
      </c>
    </row>
    <row r="51" spans="1:22" ht="15.5" hidden="1" x14ac:dyDescent="0.35">
      <c r="A51" s="272"/>
      <c r="B51" s="254" t="s">
        <v>98</v>
      </c>
      <c r="C51" s="255">
        <v>0.19500000000000001</v>
      </c>
      <c r="D51" s="256">
        <f t="shared" si="7"/>
        <v>1.7727272727272727</v>
      </c>
      <c r="E51" s="173">
        <v>52500</v>
      </c>
      <c r="F51" s="257">
        <f t="shared" si="8"/>
        <v>1.3000190476190476</v>
      </c>
      <c r="G51" s="258">
        <v>3.3000000000000002E-2</v>
      </c>
      <c r="H51" s="259">
        <f t="shared" si="9"/>
        <v>1.2222222222222223</v>
      </c>
      <c r="I51" s="273">
        <v>1361</v>
      </c>
      <c r="J51" s="274">
        <v>1317</v>
      </c>
      <c r="K51" s="262">
        <f t="shared" si="0"/>
        <v>-3.2300000000000002E-2</v>
      </c>
      <c r="L51" s="263">
        <f t="shared" si="10"/>
        <v>1.5</v>
      </c>
      <c r="M51" s="257">
        <f t="shared" si="11"/>
        <v>1.6961206896551724</v>
      </c>
      <c r="N51" s="264">
        <f t="shared" si="1"/>
        <v>5.7949685425685429</v>
      </c>
      <c r="O51" s="177">
        <v>1129</v>
      </c>
      <c r="P51" s="265">
        <f t="shared" si="2"/>
        <v>2.1499999999999998E-2</v>
      </c>
      <c r="Q51" s="266">
        <f t="shared" si="3"/>
        <v>7.94</v>
      </c>
      <c r="R51" s="275">
        <f t="shared" si="4"/>
        <v>0.5</v>
      </c>
      <c r="S51" s="270">
        <f t="shared" si="5"/>
        <v>0.63039999999999996</v>
      </c>
      <c r="T51" s="269">
        <f t="shared" si="12"/>
        <v>0.63039999999999996</v>
      </c>
      <c r="U51" s="270">
        <f t="shared" si="6"/>
        <v>0.63039999999999996</v>
      </c>
    </row>
    <row r="52" spans="1:22" ht="15.5" hidden="1" x14ac:dyDescent="0.35">
      <c r="A52" s="272">
        <v>4</v>
      </c>
      <c r="B52" s="254" t="s">
        <v>99</v>
      </c>
      <c r="C52" s="255">
        <v>0.17</v>
      </c>
      <c r="D52" s="256">
        <f t="shared" si="7"/>
        <v>1.5454545454545456</v>
      </c>
      <c r="E52" s="173">
        <v>43261</v>
      </c>
      <c r="F52" s="257">
        <f t="shared" si="8"/>
        <v>1.577656549779247</v>
      </c>
      <c r="G52" s="258">
        <v>4.1000000000000002E-2</v>
      </c>
      <c r="H52" s="259">
        <f t="shared" si="9"/>
        <v>1.5185185185185186</v>
      </c>
      <c r="I52" s="273">
        <v>1723</v>
      </c>
      <c r="J52" s="274">
        <v>1572</v>
      </c>
      <c r="K52" s="262">
        <f t="shared" si="0"/>
        <v>-8.7599999999999997E-2</v>
      </c>
      <c r="L52" s="263">
        <f t="shared" si="10"/>
        <v>2</v>
      </c>
      <c r="M52" s="257">
        <f t="shared" si="11"/>
        <v>2.8879310344827589</v>
      </c>
      <c r="N52" s="264">
        <f t="shared" si="1"/>
        <v>6.6416296137523112</v>
      </c>
      <c r="O52" s="176">
        <v>800</v>
      </c>
      <c r="P52" s="265">
        <f t="shared" si="2"/>
        <v>1.8499999999999999E-2</v>
      </c>
      <c r="Q52" s="266">
        <f t="shared" si="3"/>
        <v>8.49</v>
      </c>
      <c r="R52" s="267">
        <f t="shared" si="4"/>
        <v>0.5</v>
      </c>
      <c r="S52" s="268">
        <f t="shared" si="5"/>
        <v>0.7208</v>
      </c>
      <c r="T52" s="269">
        <f t="shared" si="12"/>
        <v>0.7208</v>
      </c>
      <c r="U52" s="268">
        <f t="shared" si="6"/>
        <v>0.7208</v>
      </c>
    </row>
    <row r="53" spans="1:22" ht="15.5" hidden="1" x14ac:dyDescent="0.35">
      <c r="A53" s="279"/>
      <c r="B53" s="254" t="s">
        <v>100</v>
      </c>
      <c r="C53" s="255">
        <v>0.185</v>
      </c>
      <c r="D53" s="256">
        <f t="shared" si="7"/>
        <v>1.6818181818181819</v>
      </c>
      <c r="E53" s="173">
        <v>34427</v>
      </c>
      <c r="F53" s="257">
        <f t="shared" si="8"/>
        <v>1.9824846777238796</v>
      </c>
      <c r="G53" s="258">
        <v>2.7E-2</v>
      </c>
      <c r="H53" s="259">
        <f t="shared" si="9"/>
        <v>1</v>
      </c>
      <c r="I53" s="273">
        <v>1331</v>
      </c>
      <c r="J53" s="274">
        <v>1288</v>
      </c>
      <c r="K53" s="262">
        <f t="shared" si="0"/>
        <v>-3.2300000000000002E-2</v>
      </c>
      <c r="L53" s="263">
        <f t="shared" si="10"/>
        <v>1.5</v>
      </c>
      <c r="M53" s="257">
        <f t="shared" si="11"/>
        <v>1.6961206896551724</v>
      </c>
      <c r="N53" s="264">
        <f t="shared" si="1"/>
        <v>6.1643028595420617</v>
      </c>
      <c r="O53" s="176">
        <v>559</v>
      </c>
      <c r="P53" s="265">
        <f t="shared" si="2"/>
        <v>1.6199999999999999E-2</v>
      </c>
      <c r="Q53" s="266">
        <f t="shared" si="3"/>
        <v>7.78</v>
      </c>
      <c r="R53" s="267">
        <f t="shared" si="4"/>
        <v>0.5</v>
      </c>
      <c r="S53" s="268">
        <f t="shared" si="5"/>
        <v>0.60529999999999995</v>
      </c>
      <c r="T53" s="269">
        <f t="shared" si="12"/>
        <v>0.60529999999999995</v>
      </c>
      <c r="U53" s="268">
        <f t="shared" si="6"/>
        <v>0.60529999999999995</v>
      </c>
      <c r="V53" s="209" t="s">
        <v>267</v>
      </c>
    </row>
    <row r="54" spans="1:22" ht="15.5" hidden="1" x14ac:dyDescent="0.35">
      <c r="A54" s="276"/>
      <c r="B54" s="254" t="s">
        <v>101</v>
      </c>
      <c r="C54" s="255">
        <v>2.2000000000000002E-2</v>
      </c>
      <c r="D54" s="256">
        <f t="shared" si="7"/>
        <v>0.2</v>
      </c>
      <c r="E54" s="173">
        <v>79835</v>
      </c>
      <c r="F54" s="257">
        <f t="shared" si="8"/>
        <v>0.85490073276132017</v>
      </c>
      <c r="G54" s="258">
        <v>1.2E-2</v>
      </c>
      <c r="H54" s="259">
        <f t="shared" si="9"/>
        <v>0.44444444444444448</v>
      </c>
      <c r="I54" s="273">
        <v>6717</v>
      </c>
      <c r="J54" s="274">
        <v>6204</v>
      </c>
      <c r="K54" s="262">
        <f t="shared" si="0"/>
        <v>-7.6399999999999996E-2</v>
      </c>
      <c r="L54" s="263">
        <f t="shared" si="10"/>
        <v>2</v>
      </c>
      <c r="M54" s="257">
        <f t="shared" si="11"/>
        <v>2.646551724137931</v>
      </c>
      <c r="N54" s="264">
        <f t="shared" si="1"/>
        <v>3.4993451772057647</v>
      </c>
      <c r="O54" s="174">
        <v>435</v>
      </c>
      <c r="P54" s="265">
        <f t="shared" si="2"/>
        <v>5.4000000000000003E-3</v>
      </c>
      <c r="Q54" s="266">
        <f t="shared" si="3"/>
        <v>4.04</v>
      </c>
      <c r="R54" s="275">
        <f t="shared" si="4"/>
        <v>0</v>
      </c>
      <c r="S54" s="270">
        <f t="shared" si="5"/>
        <v>0</v>
      </c>
      <c r="T54" s="269" t="str">
        <f t="shared" si="12"/>
        <v xml:space="preserve"> </v>
      </c>
      <c r="U54" s="270">
        <f t="shared" si="6"/>
        <v>0</v>
      </c>
    </row>
    <row r="55" spans="1:22" ht="15.5" hidden="1" x14ac:dyDescent="0.35">
      <c r="A55" s="272"/>
      <c r="B55" s="254" t="s">
        <v>102</v>
      </c>
      <c r="C55" s="255">
        <v>8.4000000000000005E-2</v>
      </c>
      <c r="D55" s="256">
        <f t="shared" si="7"/>
        <v>0.76363636363636367</v>
      </c>
      <c r="E55" s="173">
        <v>58029</v>
      </c>
      <c r="F55" s="257">
        <f t="shared" si="8"/>
        <v>1.1761533026590154</v>
      </c>
      <c r="G55" s="258">
        <v>1.4E-2</v>
      </c>
      <c r="H55" s="259">
        <f t="shared" si="9"/>
        <v>0.51851851851851849</v>
      </c>
      <c r="I55" s="273">
        <v>7768</v>
      </c>
      <c r="J55" s="274">
        <v>8531</v>
      </c>
      <c r="K55" s="262">
        <f t="shared" si="0"/>
        <v>9.8199999999999996E-2</v>
      </c>
      <c r="L55" s="263">
        <f t="shared" si="10"/>
        <v>0</v>
      </c>
      <c r="M55" s="257">
        <f t="shared" si="11"/>
        <v>-1.1163793103448276</v>
      </c>
      <c r="N55" s="264">
        <f t="shared" si="1"/>
        <v>2.4583081848138977</v>
      </c>
      <c r="O55" s="177">
        <v>2456</v>
      </c>
      <c r="P55" s="265">
        <f t="shared" si="2"/>
        <v>4.2299999999999997E-2</v>
      </c>
      <c r="Q55" s="266">
        <f t="shared" si="3"/>
        <v>6.69</v>
      </c>
      <c r="R55" s="275">
        <f t="shared" si="4"/>
        <v>0.25</v>
      </c>
      <c r="S55" s="270">
        <f t="shared" si="5"/>
        <v>0.4476</v>
      </c>
      <c r="T55" s="269" t="str">
        <f t="shared" si="12"/>
        <v xml:space="preserve"> </v>
      </c>
      <c r="U55" s="270">
        <f t="shared" si="6"/>
        <v>0</v>
      </c>
    </row>
    <row r="56" spans="1:22" ht="15.5" hidden="1" x14ac:dyDescent="0.35">
      <c r="A56" s="272"/>
      <c r="B56" s="254" t="s">
        <v>103</v>
      </c>
      <c r="C56" s="255">
        <v>0.10099999999999999</v>
      </c>
      <c r="D56" s="256">
        <f t="shared" si="7"/>
        <v>0.9181818181818181</v>
      </c>
      <c r="E56" s="173">
        <v>48438</v>
      </c>
      <c r="F56" s="257">
        <f t="shared" si="8"/>
        <v>1.4090383583137207</v>
      </c>
      <c r="G56" s="258">
        <v>1.2999999999999999E-2</v>
      </c>
      <c r="H56" s="259">
        <f t="shared" si="9"/>
        <v>0.48148148148148145</v>
      </c>
      <c r="I56" s="273">
        <v>1536</v>
      </c>
      <c r="J56" s="274">
        <v>1613</v>
      </c>
      <c r="K56" s="262">
        <f t="shared" si="0"/>
        <v>5.0099999999999999E-2</v>
      </c>
      <c r="L56" s="263">
        <f t="shared" si="10"/>
        <v>0.5</v>
      </c>
      <c r="M56" s="257">
        <f t="shared" si="11"/>
        <v>-7.9741379310344876E-2</v>
      </c>
      <c r="N56" s="264">
        <f t="shared" si="1"/>
        <v>3.3087016579770201</v>
      </c>
      <c r="O56" s="174">
        <v>276</v>
      </c>
      <c r="P56" s="265">
        <f t="shared" si="2"/>
        <v>5.7000000000000002E-3</v>
      </c>
      <c r="Q56" s="266">
        <f t="shared" si="3"/>
        <v>3.88</v>
      </c>
      <c r="R56" s="275">
        <f t="shared" si="4"/>
        <v>0</v>
      </c>
      <c r="S56" s="270">
        <f t="shared" si="5"/>
        <v>0</v>
      </c>
      <c r="T56" s="269" t="str">
        <f t="shared" si="12"/>
        <v xml:space="preserve"> </v>
      </c>
      <c r="U56" s="270">
        <f t="shared" si="6"/>
        <v>0</v>
      </c>
    </row>
    <row r="57" spans="1:22" ht="15.5" hidden="1" x14ac:dyDescent="0.35">
      <c r="A57" s="272"/>
      <c r="B57" s="254" t="s">
        <v>104</v>
      </c>
      <c r="C57" s="255">
        <v>0.45600000000000002</v>
      </c>
      <c r="D57" s="256">
        <f t="shared" si="7"/>
        <v>4.1454545454545455</v>
      </c>
      <c r="E57" s="173">
        <v>23718</v>
      </c>
      <c r="F57" s="257">
        <f t="shared" si="8"/>
        <v>2.8776035078843072</v>
      </c>
      <c r="G57" s="258">
        <v>3.3000000000000002E-2</v>
      </c>
      <c r="H57" s="259">
        <f t="shared" si="9"/>
        <v>1.2222222222222223</v>
      </c>
      <c r="I57" s="273">
        <v>6552</v>
      </c>
      <c r="J57" s="274">
        <v>6721</v>
      </c>
      <c r="K57" s="262">
        <f t="shared" si="0"/>
        <v>2.58E-2</v>
      </c>
      <c r="L57" s="263">
        <f t="shared" si="10"/>
        <v>1</v>
      </c>
      <c r="M57" s="257">
        <f t="shared" si="11"/>
        <v>0.44396551724137928</v>
      </c>
      <c r="N57" s="264">
        <f t="shared" si="1"/>
        <v>9.2452802755610755</v>
      </c>
      <c r="O57" s="174">
        <v>330</v>
      </c>
      <c r="P57" s="265">
        <f t="shared" si="2"/>
        <v>1.3899999999999999E-2</v>
      </c>
      <c r="Q57" s="266">
        <f t="shared" si="3"/>
        <v>10.64</v>
      </c>
      <c r="R57" s="275">
        <f t="shared" si="4"/>
        <v>1</v>
      </c>
      <c r="S57" s="270">
        <f t="shared" si="5"/>
        <v>1</v>
      </c>
      <c r="T57" s="269">
        <f t="shared" si="12"/>
        <v>1</v>
      </c>
      <c r="U57" s="270">
        <f t="shared" si="6"/>
        <v>1</v>
      </c>
      <c r="V57" s="209" t="s">
        <v>268</v>
      </c>
    </row>
    <row r="58" spans="1:22" ht="15.5" x14ac:dyDescent="0.35">
      <c r="A58" s="272"/>
      <c r="B58" s="254" t="s">
        <v>269</v>
      </c>
      <c r="C58" s="255">
        <v>0</v>
      </c>
      <c r="D58" s="256">
        <f t="shared" si="7"/>
        <v>0</v>
      </c>
      <c r="E58" s="173">
        <v>104100</v>
      </c>
      <c r="F58" s="257">
        <f t="shared" si="8"/>
        <v>0.65562920268972147</v>
      </c>
      <c r="G58" s="670">
        <v>0.02</v>
      </c>
      <c r="H58" s="259">
        <f t="shared" si="9"/>
        <v>0.74074074074074081</v>
      </c>
      <c r="I58" s="273">
        <v>11370</v>
      </c>
      <c r="J58" s="274">
        <v>12857</v>
      </c>
      <c r="K58" s="262">
        <f t="shared" si="0"/>
        <v>0.1308</v>
      </c>
      <c r="L58" s="263">
        <f t="shared" si="10"/>
        <v>0</v>
      </c>
      <c r="M58" s="257">
        <f t="shared" si="11"/>
        <v>-1.8189655172413794</v>
      </c>
      <c r="N58" s="264">
        <f t="shared" si="1"/>
        <v>1.3963699434304622</v>
      </c>
      <c r="O58" s="468">
        <v>799</v>
      </c>
      <c r="P58" s="265">
        <f t="shared" si="2"/>
        <v>7.7000000000000002E-3</v>
      </c>
      <c r="Q58" s="266">
        <f t="shared" si="3"/>
        <v>2.17</v>
      </c>
      <c r="R58" s="275">
        <f t="shared" si="4"/>
        <v>0</v>
      </c>
      <c r="S58" s="270">
        <f t="shared" si="5"/>
        <v>0</v>
      </c>
      <c r="T58" s="269" t="str">
        <f t="shared" si="12"/>
        <v xml:space="preserve"> </v>
      </c>
      <c r="U58" s="270">
        <f t="shared" si="6"/>
        <v>0</v>
      </c>
      <c r="V58" s="209" t="s">
        <v>270</v>
      </c>
    </row>
    <row r="59" spans="1:22" ht="15.5" hidden="1" x14ac:dyDescent="0.35">
      <c r="A59" s="272"/>
      <c r="B59" s="254" t="s">
        <v>105</v>
      </c>
      <c r="C59" s="255">
        <v>0.253</v>
      </c>
      <c r="D59" s="256">
        <f t="shared" si="7"/>
        <v>2.2999999999999998</v>
      </c>
      <c r="E59" s="173">
        <v>40430</v>
      </c>
      <c r="F59" s="257">
        <f t="shared" si="8"/>
        <v>1.6881276279990107</v>
      </c>
      <c r="G59" s="258">
        <v>4.3999999999999997E-2</v>
      </c>
      <c r="H59" s="259">
        <f t="shared" si="9"/>
        <v>1.6296296296296295</v>
      </c>
      <c r="I59" s="273">
        <v>7762</v>
      </c>
      <c r="J59" s="274">
        <v>7767</v>
      </c>
      <c r="K59" s="262">
        <f t="shared" si="0"/>
        <v>5.9999999999999995E-4</v>
      </c>
      <c r="L59" s="263">
        <f t="shared" si="10"/>
        <v>1</v>
      </c>
      <c r="M59" s="257">
        <f t="shared" si="11"/>
        <v>0.98706896551724133</v>
      </c>
      <c r="N59" s="264">
        <f t="shared" si="1"/>
        <v>6.6177572576286403</v>
      </c>
      <c r="O59" s="174">
        <v>583</v>
      </c>
      <c r="P59" s="265">
        <f t="shared" si="2"/>
        <v>1.44E-2</v>
      </c>
      <c r="Q59" s="266">
        <f t="shared" si="3"/>
        <v>8.06</v>
      </c>
      <c r="R59" s="267">
        <f t="shared" si="4"/>
        <v>0.5</v>
      </c>
      <c r="S59" s="268">
        <f t="shared" si="5"/>
        <v>0.64959999999999996</v>
      </c>
      <c r="T59" s="269">
        <f t="shared" si="12"/>
        <v>0.64959999999999996</v>
      </c>
      <c r="U59" s="268">
        <f t="shared" si="6"/>
        <v>0.64959999999999996</v>
      </c>
      <c r="V59" s="209" t="s">
        <v>271</v>
      </c>
    </row>
    <row r="60" spans="1:22" ht="15.5" hidden="1" x14ac:dyDescent="0.35">
      <c r="A60" s="272"/>
      <c r="B60" s="254" t="s">
        <v>106</v>
      </c>
      <c r="C60" s="255">
        <v>0.109</v>
      </c>
      <c r="D60" s="256">
        <f t="shared" si="7"/>
        <v>0.99090909090909085</v>
      </c>
      <c r="E60" s="173">
        <v>40670</v>
      </c>
      <c r="F60" s="257">
        <f t="shared" si="8"/>
        <v>1.6781657241209738</v>
      </c>
      <c r="G60" s="258">
        <v>5.3999999999999999E-2</v>
      </c>
      <c r="H60" s="259">
        <f t="shared" si="9"/>
        <v>2</v>
      </c>
      <c r="I60" s="273">
        <v>3466</v>
      </c>
      <c r="J60" s="274">
        <v>3278</v>
      </c>
      <c r="K60" s="262">
        <f t="shared" si="0"/>
        <v>-5.4199999999999998E-2</v>
      </c>
      <c r="L60" s="263">
        <f t="shared" si="10"/>
        <v>2</v>
      </c>
      <c r="M60" s="257">
        <f t="shared" si="11"/>
        <v>2.1681034482758621</v>
      </c>
      <c r="N60" s="264">
        <f t="shared" si="1"/>
        <v>6.6690748150300649</v>
      </c>
      <c r="O60" s="177">
        <v>398</v>
      </c>
      <c r="P60" s="265">
        <f t="shared" si="2"/>
        <v>9.7999999999999997E-3</v>
      </c>
      <c r="Q60" s="266">
        <f t="shared" si="3"/>
        <v>7.65</v>
      </c>
      <c r="R60" s="275">
        <f t="shared" si="4"/>
        <v>0.5</v>
      </c>
      <c r="S60" s="270">
        <f t="shared" si="5"/>
        <v>0.58520000000000005</v>
      </c>
      <c r="T60" s="269">
        <f t="shared" si="12"/>
        <v>0.58520000000000005</v>
      </c>
      <c r="U60" s="270">
        <f t="shared" si="6"/>
        <v>0.58520000000000005</v>
      </c>
      <c r="V60" s="209" t="s">
        <v>272</v>
      </c>
    </row>
    <row r="61" spans="1:22" ht="15.5" x14ac:dyDescent="0.35">
      <c r="A61" s="272"/>
      <c r="B61" s="254" t="s">
        <v>107</v>
      </c>
      <c r="C61" s="255">
        <v>0.104</v>
      </c>
      <c r="D61" s="256">
        <f t="shared" si="7"/>
        <v>0.94545454545454544</v>
      </c>
      <c r="E61" s="173">
        <v>53523</v>
      </c>
      <c r="F61" s="257">
        <f t="shared" si="8"/>
        <v>1.2751714216318217</v>
      </c>
      <c r="G61" s="670">
        <v>1.4999999999999999E-2</v>
      </c>
      <c r="H61" s="259">
        <f t="shared" si="9"/>
        <v>0.55555555555555558</v>
      </c>
      <c r="I61" s="273">
        <v>4057</v>
      </c>
      <c r="J61" s="274">
        <v>4115</v>
      </c>
      <c r="K61" s="262">
        <f t="shared" si="0"/>
        <v>1.43E-2</v>
      </c>
      <c r="L61" s="263">
        <f t="shared" si="10"/>
        <v>1</v>
      </c>
      <c r="M61" s="257">
        <f t="shared" si="11"/>
        <v>0.69181034482758619</v>
      </c>
      <c r="N61" s="264">
        <f t="shared" si="1"/>
        <v>3.7761815226419229</v>
      </c>
      <c r="O61" s="468">
        <v>615</v>
      </c>
      <c r="P61" s="265">
        <f t="shared" si="2"/>
        <v>1.15E-2</v>
      </c>
      <c r="Q61" s="266">
        <f t="shared" si="3"/>
        <v>4.93</v>
      </c>
      <c r="R61" s="267">
        <f t="shared" si="4"/>
        <v>0</v>
      </c>
      <c r="S61" s="268">
        <f t="shared" si="5"/>
        <v>0</v>
      </c>
      <c r="T61" s="269" t="str">
        <f t="shared" si="12"/>
        <v xml:space="preserve"> </v>
      </c>
      <c r="U61" s="270">
        <f t="shared" si="6"/>
        <v>0</v>
      </c>
      <c r="V61" s="209" t="s">
        <v>273</v>
      </c>
    </row>
    <row r="62" spans="1:22" ht="15.5" x14ac:dyDescent="0.35">
      <c r="A62" s="272"/>
      <c r="B62" s="254" t="s">
        <v>108</v>
      </c>
      <c r="C62" s="255">
        <v>0.17499999999999999</v>
      </c>
      <c r="D62" s="256">
        <f t="shared" si="7"/>
        <v>1.5909090909090908</v>
      </c>
      <c r="E62" s="173">
        <v>75383</v>
      </c>
      <c r="F62" s="257">
        <f t="shared" si="8"/>
        <v>0.90538980937346614</v>
      </c>
      <c r="G62" s="670">
        <v>8.1000000000000003E-2</v>
      </c>
      <c r="H62" s="259">
        <f t="shared" si="9"/>
        <v>3</v>
      </c>
      <c r="I62" s="273">
        <v>8027</v>
      </c>
      <c r="J62" s="274">
        <v>8784</v>
      </c>
      <c r="K62" s="262">
        <f t="shared" si="0"/>
        <v>9.4299999999999995E-2</v>
      </c>
      <c r="L62" s="263">
        <f t="shared" si="10"/>
        <v>0.5</v>
      </c>
      <c r="M62" s="257">
        <f t="shared" si="11"/>
        <v>-1.0323275862068966</v>
      </c>
      <c r="N62" s="264">
        <f t="shared" si="1"/>
        <v>5.9962989002825573</v>
      </c>
      <c r="O62" s="468">
        <v>2511</v>
      </c>
      <c r="P62" s="265">
        <f t="shared" si="2"/>
        <v>3.3300000000000003E-2</v>
      </c>
      <c r="Q62" s="266">
        <f t="shared" si="3"/>
        <v>9.33</v>
      </c>
      <c r="R62" s="275">
        <f t="shared" si="4"/>
        <v>0.75</v>
      </c>
      <c r="S62" s="270">
        <f t="shared" si="5"/>
        <v>0.87050000000000005</v>
      </c>
      <c r="T62" s="269">
        <f t="shared" si="12"/>
        <v>0.87050000000000005</v>
      </c>
      <c r="U62" s="270">
        <f t="shared" si="6"/>
        <v>0.87050000000000005</v>
      </c>
      <c r="V62" s="671" t="s">
        <v>1101</v>
      </c>
    </row>
    <row r="63" spans="1:22" ht="15.5" hidden="1" x14ac:dyDescent="0.35">
      <c r="A63" s="272"/>
      <c r="B63" s="254" t="s">
        <v>109</v>
      </c>
      <c r="C63" s="255">
        <v>0.14099999999999999</v>
      </c>
      <c r="D63" s="256">
        <f t="shared" si="7"/>
        <v>1.2818181818181817</v>
      </c>
      <c r="E63" s="173">
        <v>46667</v>
      </c>
      <c r="F63" s="257">
        <f t="shared" si="8"/>
        <v>1.4625109820644138</v>
      </c>
      <c r="G63" s="258">
        <v>1.4E-2</v>
      </c>
      <c r="H63" s="259">
        <f t="shared" si="9"/>
        <v>0.51851851851851849</v>
      </c>
      <c r="I63" s="273">
        <v>1037</v>
      </c>
      <c r="J63" s="274">
        <v>1101</v>
      </c>
      <c r="K63" s="262">
        <f t="shared" si="0"/>
        <v>6.1699999999999998E-2</v>
      </c>
      <c r="L63" s="263">
        <f t="shared" si="10"/>
        <v>0.5</v>
      </c>
      <c r="M63" s="257">
        <f t="shared" si="11"/>
        <v>-0.32974137931034486</v>
      </c>
      <c r="N63" s="264">
        <f t="shared" si="1"/>
        <v>3.7628476824011141</v>
      </c>
      <c r="O63" s="175">
        <v>797</v>
      </c>
      <c r="P63" s="265">
        <f t="shared" si="2"/>
        <v>1.7100000000000001E-2</v>
      </c>
      <c r="Q63" s="266">
        <f t="shared" si="3"/>
        <v>5.47</v>
      </c>
      <c r="R63" s="275">
        <f t="shared" si="4"/>
        <v>0</v>
      </c>
      <c r="S63" s="270">
        <f t="shared" si="5"/>
        <v>0</v>
      </c>
      <c r="T63" s="269" t="str">
        <f t="shared" si="12"/>
        <v xml:space="preserve"> </v>
      </c>
      <c r="U63" s="270">
        <f t="shared" si="6"/>
        <v>0</v>
      </c>
    </row>
    <row r="64" spans="1:22" ht="15.5" hidden="1" x14ac:dyDescent="0.35">
      <c r="A64" s="272"/>
      <c r="B64" s="254" t="s">
        <v>110</v>
      </c>
      <c r="C64" s="255">
        <v>0.115</v>
      </c>
      <c r="D64" s="256">
        <f t="shared" si="7"/>
        <v>1.0454545454545454</v>
      </c>
      <c r="E64" s="173">
        <v>57458</v>
      </c>
      <c r="F64" s="257">
        <f t="shared" si="8"/>
        <v>1.1878415538306242</v>
      </c>
      <c r="G64" s="258">
        <v>5.1999999999999998E-2</v>
      </c>
      <c r="H64" s="259">
        <f t="shared" si="9"/>
        <v>1.9259259259259258</v>
      </c>
      <c r="I64" s="273">
        <v>5755</v>
      </c>
      <c r="J64" s="274">
        <v>6033</v>
      </c>
      <c r="K64" s="262">
        <f t="shared" si="0"/>
        <v>4.8300000000000003E-2</v>
      </c>
      <c r="L64" s="263">
        <f t="shared" si="10"/>
        <v>0.5</v>
      </c>
      <c r="M64" s="257">
        <f t="shared" si="11"/>
        <v>-4.0948275862069096E-2</v>
      </c>
      <c r="N64" s="264">
        <f t="shared" si="1"/>
        <v>4.6592220252110952</v>
      </c>
      <c r="O64" s="178">
        <v>1256</v>
      </c>
      <c r="P64" s="265">
        <f t="shared" si="2"/>
        <v>2.1899999999999999E-2</v>
      </c>
      <c r="Q64" s="266">
        <f t="shared" si="3"/>
        <v>6.85</v>
      </c>
      <c r="R64" s="275">
        <f t="shared" si="4"/>
        <v>0.25</v>
      </c>
      <c r="S64" s="270">
        <f t="shared" si="5"/>
        <v>0.46920000000000001</v>
      </c>
      <c r="T64" s="269" t="str">
        <f t="shared" si="12"/>
        <v xml:space="preserve"> </v>
      </c>
      <c r="U64" s="270">
        <f t="shared" si="6"/>
        <v>0</v>
      </c>
    </row>
    <row r="65" spans="1:23" ht="15.5" hidden="1" x14ac:dyDescent="0.35">
      <c r="A65" s="272"/>
      <c r="B65" s="254" t="s">
        <v>111</v>
      </c>
      <c r="C65" s="255">
        <v>3.5000000000000003E-2</v>
      </c>
      <c r="D65" s="256">
        <f t="shared" si="7"/>
        <v>0.31818181818181823</v>
      </c>
      <c r="E65" s="173">
        <v>85179</v>
      </c>
      <c r="F65" s="257">
        <f t="shared" si="8"/>
        <v>0.80126557015226763</v>
      </c>
      <c r="G65" s="277">
        <v>0.01</v>
      </c>
      <c r="H65" s="278">
        <f t="shared" si="9"/>
        <v>0.37037037037037041</v>
      </c>
      <c r="I65" s="273">
        <v>16498</v>
      </c>
      <c r="J65" s="274">
        <v>18426</v>
      </c>
      <c r="K65" s="262">
        <f t="shared" si="0"/>
        <v>0.1169</v>
      </c>
      <c r="L65" s="263">
        <f t="shared" si="10"/>
        <v>0</v>
      </c>
      <c r="M65" s="257">
        <f t="shared" si="11"/>
        <v>-1.5193965517241381</v>
      </c>
      <c r="N65" s="264">
        <f t="shared" si="1"/>
        <v>1.4898177587044563</v>
      </c>
      <c r="O65" s="174">
        <v>593</v>
      </c>
      <c r="P65" s="265">
        <f t="shared" si="2"/>
        <v>7.0000000000000001E-3</v>
      </c>
      <c r="Q65" s="266">
        <f t="shared" si="3"/>
        <v>2.19</v>
      </c>
      <c r="R65" s="275">
        <f t="shared" si="4"/>
        <v>0</v>
      </c>
      <c r="S65" s="270">
        <f t="shared" si="5"/>
        <v>0</v>
      </c>
      <c r="T65" s="269" t="str">
        <f t="shared" si="12"/>
        <v xml:space="preserve"> </v>
      </c>
      <c r="U65" s="270">
        <f t="shared" si="6"/>
        <v>0</v>
      </c>
      <c r="V65" s="209" t="s">
        <v>274</v>
      </c>
    </row>
    <row r="66" spans="1:23" ht="15.5" hidden="1" x14ac:dyDescent="0.35">
      <c r="A66" s="272"/>
      <c r="B66" s="254" t="s">
        <v>376</v>
      </c>
      <c r="C66" s="255">
        <v>0.14299999999999999</v>
      </c>
      <c r="D66" s="256">
        <f t="shared" si="7"/>
        <v>1.2999999999999998</v>
      </c>
      <c r="E66" s="173">
        <v>29792</v>
      </c>
      <c r="F66" s="257">
        <f t="shared" si="8"/>
        <v>2.2909170247046187</v>
      </c>
      <c r="G66" s="277">
        <v>7.5999999999999998E-2</v>
      </c>
      <c r="H66" s="278">
        <f t="shared" si="9"/>
        <v>2.8148148148148149</v>
      </c>
      <c r="I66" s="273">
        <v>463</v>
      </c>
      <c r="J66" s="274">
        <v>359</v>
      </c>
      <c r="K66" s="262">
        <f t="shared" si="0"/>
        <v>-0.22459999999999999</v>
      </c>
      <c r="L66" s="263">
        <f t="shared" si="10"/>
        <v>3</v>
      </c>
      <c r="M66" s="257">
        <f t="shared" si="11"/>
        <v>5.8405172413793114</v>
      </c>
      <c r="N66" s="264">
        <f t="shared" si="1"/>
        <v>9.4057318395194329</v>
      </c>
      <c r="O66" s="177">
        <v>784</v>
      </c>
      <c r="P66" s="265">
        <f t="shared" si="2"/>
        <v>2.63E-2</v>
      </c>
      <c r="Q66" s="266">
        <f t="shared" si="3"/>
        <v>12.04</v>
      </c>
      <c r="R66" s="267">
        <f t="shared" si="4"/>
        <v>1</v>
      </c>
      <c r="S66" s="268">
        <f t="shared" si="5"/>
        <v>1</v>
      </c>
      <c r="T66" s="269">
        <f t="shared" si="12"/>
        <v>1</v>
      </c>
      <c r="U66" s="270">
        <f t="shared" si="6"/>
        <v>1</v>
      </c>
    </row>
    <row r="67" spans="1:23" ht="15.5" hidden="1" x14ac:dyDescent="0.35">
      <c r="A67" s="272"/>
      <c r="B67" s="254" t="s">
        <v>112</v>
      </c>
      <c r="C67" s="255">
        <v>0.16900000000000001</v>
      </c>
      <c r="D67" s="256">
        <f t="shared" si="7"/>
        <v>1.5363636363636364</v>
      </c>
      <c r="E67" s="173">
        <v>36935</v>
      </c>
      <c r="F67" s="257">
        <f t="shared" si="8"/>
        <v>1.8478678759983755</v>
      </c>
      <c r="G67" s="258">
        <v>7.9000000000000001E-2</v>
      </c>
      <c r="H67" s="259">
        <f t="shared" si="9"/>
        <v>2.925925925925926</v>
      </c>
      <c r="I67" s="273">
        <v>1604</v>
      </c>
      <c r="J67" s="274">
        <v>1637</v>
      </c>
      <c r="K67" s="262">
        <f t="shared" si="0"/>
        <v>2.06E-2</v>
      </c>
      <c r="L67" s="263">
        <f t="shared" si="10"/>
        <v>1</v>
      </c>
      <c r="M67" s="257">
        <f t="shared" si="11"/>
        <v>0.55603448275862066</v>
      </c>
      <c r="N67" s="264">
        <f t="shared" si="1"/>
        <v>7.3101574382879377</v>
      </c>
      <c r="O67" s="174">
        <v>226</v>
      </c>
      <c r="P67" s="265">
        <f t="shared" si="2"/>
        <v>6.1000000000000004E-3</v>
      </c>
      <c r="Q67" s="266">
        <f t="shared" si="3"/>
        <v>7.92</v>
      </c>
      <c r="R67" s="267">
        <f t="shared" si="4"/>
        <v>0.5</v>
      </c>
      <c r="S67" s="268">
        <f t="shared" si="5"/>
        <v>0.62729999999999997</v>
      </c>
      <c r="T67" s="269">
        <f t="shared" si="12"/>
        <v>0.62729999999999997</v>
      </c>
      <c r="U67" s="268">
        <f t="shared" si="6"/>
        <v>0.62729999999999997</v>
      </c>
      <c r="V67" s="209" t="s">
        <v>275</v>
      </c>
    </row>
    <row r="68" spans="1:23" ht="15.5" hidden="1" x14ac:dyDescent="0.35">
      <c r="A68" s="272"/>
      <c r="B68" s="254" t="s">
        <v>113</v>
      </c>
      <c r="C68" s="255">
        <v>0.21099999999999999</v>
      </c>
      <c r="D68" s="256">
        <f t="shared" si="7"/>
        <v>1.9181818181818182</v>
      </c>
      <c r="E68" s="173">
        <v>38281</v>
      </c>
      <c r="F68" s="257">
        <f t="shared" si="8"/>
        <v>1.7828949087014445</v>
      </c>
      <c r="G68" s="258">
        <v>2.1000000000000001E-2</v>
      </c>
      <c r="H68" s="259">
        <f t="shared" si="9"/>
        <v>0.77777777777777779</v>
      </c>
      <c r="I68" s="273">
        <v>1508</v>
      </c>
      <c r="J68" s="274">
        <v>1298</v>
      </c>
      <c r="K68" s="262">
        <f t="shared" si="0"/>
        <v>-0.13930000000000001</v>
      </c>
      <c r="L68" s="263">
        <f t="shared" si="10"/>
        <v>2.5</v>
      </c>
      <c r="M68" s="257">
        <f t="shared" si="11"/>
        <v>4.0021551724137936</v>
      </c>
      <c r="N68" s="264">
        <f t="shared" si="1"/>
        <v>6.9788545046610402</v>
      </c>
      <c r="O68" s="174">
        <v>400.96</v>
      </c>
      <c r="P68" s="265">
        <f t="shared" si="2"/>
        <v>1.0500000000000001E-2</v>
      </c>
      <c r="Q68" s="266">
        <f t="shared" si="3"/>
        <v>8.0299999999999994</v>
      </c>
      <c r="R68" s="267">
        <f t="shared" si="4"/>
        <v>0.5</v>
      </c>
      <c r="S68" s="268">
        <f t="shared" si="5"/>
        <v>0.64480000000000004</v>
      </c>
      <c r="T68" s="269">
        <f t="shared" si="12"/>
        <v>0.64480000000000004</v>
      </c>
      <c r="U68" s="270">
        <f t="shared" si="6"/>
        <v>0.64480000000000004</v>
      </c>
      <c r="V68" s="209" t="s">
        <v>276</v>
      </c>
    </row>
    <row r="69" spans="1:23" ht="15.5" hidden="1" x14ac:dyDescent="0.35">
      <c r="A69" s="272"/>
      <c r="B69" s="254" t="s">
        <v>344</v>
      </c>
      <c r="C69" s="255">
        <f>(0.95*C68)+(0.05*C139)</f>
        <v>0.21274999999999999</v>
      </c>
      <c r="D69" s="256">
        <f t="shared" si="7"/>
        <v>1.9340909090909091</v>
      </c>
      <c r="E69" s="173">
        <f>(0.95*E68)+(0.05*E139)</f>
        <v>38385.699999999997</v>
      </c>
      <c r="F69" s="257">
        <f t="shared" si="8"/>
        <v>1.7780319233464548</v>
      </c>
      <c r="G69" s="258">
        <f>(0.95*G68)+(0.05*G139)</f>
        <v>2.1700000000000001E-2</v>
      </c>
      <c r="H69" s="259">
        <f t="shared" si="9"/>
        <v>0.8037037037037037</v>
      </c>
      <c r="I69" s="273">
        <f>(0.95*I68)+(0.05*I139)</f>
        <v>1498.8999999999999</v>
      </c>
      <c r="J69" s="274">
        <f>(0.95*J68)+(0.05*J139)</f>
        <v>1300.25</v>
      </c>
      <c r="K69" s="262">
        <f t="shared" si="0"/>
        <v>-0.13250000000000001</v>
      </c>
      <c r="L69" s="263">
        <f t="shared" si="10"/>
        <v>2.5</v>
      </c>
      <c r="M69" s="257">
        <f t="shared" si="11"/>
        <v>3.8556034482758625</v>
      </c>
      <c r="N69" s="264">
        <f t="shared" si="1"/>
        <v>7.0158265361410672</v>
      </c>
      <c r="O69" s="177">
        <v>165</v>
      </c>
      <c r="P69" s="265">
        <f t="shared" si="2"/>
        <v>4.3E-3</v>
      </c>
      <c r="Q69" s="266">
        <f t="shared" si="3"/>
        <v>7.45</v>
      </c>
      <c r="R69" s="267">
        <f t="shared" si="4"/>
        <v>0.25</v>
      </c>
      <c r="S69" s="268">
        <f t="shared" si="5"/>
        <v>0.55500000000000005</v>
      </c>
      <c r="T69" s="269">
        <f t="shared" si="12"/>
        <v>0.55500000000000005</v>
      </c>
      <c r="U69" s="270">
        <f t="shared" si="6"/>
        <v>0</v>
      </c>
      <c r="V69" s="209" t="s">
        <v>345</v>
      </c>
    </row>
    <row r="70" spans="1:23" ht="15.5" hidden="1" x14ac:dyDescent="0.35">
      <c r="A70" s="272"/>
      <c r="B70" s="254" t="s">
        <v>340</v>
      </c>
      <c r="C70" s="255">
        <v>0.124</v>
      </c>
      <c r="D70" s="256">
        <f t="shared" si="7"/>
        <v>1.1272727272727272</v>
      </c>
      <c r="E70" s="173">
        <v>57250</v>
      </c>
      <c r="F70" s="257">
        <f t="shared" si="8"/>
        <v>1.1921572052401748</v>
      </c>
      <c r="G70" s="258">
        <v>1.7999999999999999E-2</v>
      </c>
      <c r="H70" s="259">
        <f t="shared" si="9"/>
        <v>0.66666666666666663</v>
      </c>
      <c r="I70" s="273">
        <v>2381</v>
      </c>
      <c r="J70" s="274">
        <v>2573</v>
      </c>
      <c r="K70" s="262">
        <f t="shared" si="0"/>
        <v>8.0600000000000005E-2</v>
      </c>
      <c r="L70" s="263">
        <f t="shared" si="10"/>
        <v>0.5</v>
      </c>
      <c r="M70" s="257">
        <f t="shared" si="11"/>
        <v>-0.73706896551724166</v>
      </c>
      <c r="N70" s="264">
        <f t="shared" si="1"/>
        <v>3.4860965991795685</v>
      </c>
      <c r="O70" s="174"/>
      <c r="P70" s="265"/>
      <c r="Q70" s="266"/>
      <c r="R70" s="267"/>
      <c r="S70" s="268"/>
      <c r="T70" s="269"/>
      <c r="U70" s="270"/>
    </row>
    <row r="71" spans="1:23" ht="15.5" hidden="1" x14ac:dyDescent="0.35">
      <c r="A71" s="272"/>
      <c r="B71" s="254" t="s">
        <v>377</v>
      </c>
      <c r="C71" s="255">
        <v>0.25</v>
      </c>
      <c r="D71" s="256">
        <f t="shared" si="7"/>
        <v>2.2727272727272729</v>
      </c>
      <c r="E71" s="180">
        <v>29836</v>
      </c>
      <c r="F71" s="257">
        <f t="shared" si="8"/>
        <v>2.2875385440407561</v>
      </c>
      <c r="G71" s="258">
        <v>2.5999999999999999E-2</v>
      </c>
      <c r="H71" s="259">
        <f t="shared" si="9"/>
        <v>0.96296296296296291</v>
      </c>
      <c r="I71" s="273">
        <v>217</v>
      </c>
      <c r="J71" s="274">
        <v>162</v>
      </c>
      <c r="K71" s="262">
        <f t="shared" si="0"/>
        <v>-0.2535</v>
      </c>
      <c r="L71" s="263">
        <f t="shared" si="10"/>
        <v>3</v>
      </c>
      <c r="M71" s="257">
        <f t="shared" si="11"/>
        <v>6.4633620689655178</v>
      </c>
      <c r="N71" s="264">
        <f t="shared" si="1"/>
        <v>8.5232287797309922</v>
      </c>
      <c r="O71" s="177">
        <v>700</v>
      </c>
      <c r="P71" s="265">
        <f>ROUND(O71/E71,4)</f>
        <v>2.35E-2</v>
      </c>
      <c r="Q71" s="266">
        <f t="shared" si="3"/>
        <v>10.87</v>
      </c>
      <c r="R71" s="267">
        <f>ROUND(IF($Q71&gt;=10,1,IF($Q71&gt;=8.75,0.75,IF($Q71&gt;=7.5,0.5,IF($Q71&gt;=6.25,0.25,0)))),4)</f>
        <v>1</v>
      </c>
      <c r="S71" s="268">
        <f t="shared" si="5"/>
        <v>1</v>
      </c>
      <c r="T71" s="269">
        <f t="shared" si="12"/>
        <v>1</v>
      </c>
      <c r="U71" s="270"/>
      <c r="W71" s="209" t="s">
        <v>378</v>
      </c>
    </row>
    <row r="72" spans="1:23" ht="15.5" x14ac:dyDescent="0.35">
      <c r="A72" s="272"/>
      <c r="B72" s="254" t="s">
        <v>114</v>
      </c>
      <c r="C72" s="255">
        <v>5.3999999999999999E-2</v>
      </c>
      <c r="D72" s="256">
        <f t="shared" si="7"/>
        <v>0.49090909090909091</v>
      </c>
      <c r="E72" s="173">
        <v>88548</v>
      </c>
      <c r="F72" s="257">
        <f t="shared" si="8"/>
        <v>0.77077969011157788</v>
      </c>
      <c r="G72" s="670">
        <v>1.4999999999999999E-2</v>
      </c>
      <c r="H72" s="259">
        <f t="shared" si="9"/>
        <v>0.55555555555555558</v>
      </c>
      <c r="I72" s="273">
        <v>7257</v>
      </c>
      <c r="J72" s="274">
        <v>7887</v>
      </c>
      <c r="K72" s="262">
        <f t="shared" si="0"/>
        <v>8.6800000000000002E-2</v>
      </c>
      <c r="L72" s="263">
        <f t="shared" si="10"/>
        <v>0.5</v>
      </c>
      <c r="M72" s="257">
        <f t="shared" si="11"/>
        <v>-0.87068965517241392</v>
      </c>
      <c r="N72" s="264">
        <f t="shared" si="1"/>
        <v>2.3172443365762243</v>
      </c>
      <c r="O72" s="468">
        <v>735</v>
      </c>
      <c r="P72" s="265">
        <f t="shared" ref="P72:P79" si="15">ROUND(O72/E72,4)</f>
        <v>8.3000000000000001E-3</v>
      </c>
      <c r="Q72" s="266">
        <f t="shared" si="3"/>
        <v>3.15</v>
      </c>
      <c r="R72" s="275">
        <f t="shared" si="4"/>
        <v>0</v>
      </c>
      <c r="S72" s="270">
        <f t="shared" si="5"/>
        <v>0</v>
      </c>
      <c r="T72" s="269" t="str">
        <f t="shared" si="12"/>
        <v xml:space="preserve"> </v>
      </c>
      <c r="U72" s="270">
        <f t="shared" si="6"/>
        <v>0</v>
      </c>
      <c r="V72" s="209" t="s">
        <v>277</v>
      </c>
    </row>
    <row r="73" spans="1:23" ht="15.5" x14ac:dyDescent="0.35">
      <c r="A73" s="272"/>
      <c r="B73" s="254" t="s">
        <v>379</v>
      </c>
      <c r="C73" s="255">
        <v>0.17299999999999999</v>
      </c>
      <c r="D73" s="256">
        <f t="shared" si="7"/>
        <v>1.5727272727272725</v>
      </c>
      <c r="E73" s="173">
        <v>31406</v>
      </c>
      <c r="F73" s="257">
        <f t="shared" si="8"/>
        <v>2.1731834681271094</v>
      </c>
      <c r="G73" s="670">
        <v>1.2999999999999999E-2</v>
      </c>
      <c r="H73" s="259">
        <f t="shared" si="9"/>
        <v>0.48148148148148145</v>
      </c>
      <c r="I73" s="273">
        <v>1764</v>
      </c>
      <c r="J73" s="274">
        <v>1819</v>
      </c>
      <c r="K73" s="262">
        <f t="shared" si="0"/>
        <v>3.1199999999999999E-2</v>
      </c>
      <c r="L73" s="263">
        <f t="shared" si="10"/>
        <v>1</v>
      </c>
      <c r="M73" s="257">
        <f t="shared" si="11"/>
        <v>0.32758620689655171</v>
      </c>
      <c r="N73" s="264">
        <f t="shared" si="1"/>
        <v>5.2273922223358635</v>
      </c>
      <c r="O73" s="468">
        <v>1602</v>
      </c>
      <c r="P73" s="265">
        <f t="shared" si="15"/>
        <v>5.0999999999999997E-2</v>
      </c>
      <c r="Q73" s="266">
        <f t="shared" si="3"/>
        <v>10.33</v>
      </c>
      <c r="R73" s="267">
        <f t="shared" si="4"/>
        <v>1</v>
      </c>
      <c r="S73" s="268">
        <f t="shared" si="5"/>
        <v>1</v>
      </c>
      <c r="T73" s="269">
        <f t="shared" si="12"/>
        <v>1</v>
      </c>
      <c r="U73" s="270">
        <f t="shared" si="6"/>
        <v>1</v>
      </c>
      <c r="V73" s="671" t="s">
        <v>1102</v>
      </c>
    </row>
    <row r="74" spans="1:23" ht="15.5" hidden="1" x14ac:dyDescent="0.35">
      <c r="A74" s="272"/>
      <c r="B74" s="254" t="s">
        <v>324</v>
      </c>
      <c r="C74" s="255">
        <v>3.6999999999999998E-2</v>
      </c>
      <c r="D74" s="256">
        <f t="shared" si="7"/>
        <v>0.33636363636363636</v>
      </c>
      <c r="E74" s="173">
        <v>82962</v>
      </c>
      <c r="F74" s="257">
        <f t="shared" si="8"/>
        <v>0.82267785251078807</v>
      </c>
      <c r="G74" s="258">
        <v>1.4E-2</v>
      </c>
      <c r="H74" s="259">
        <f t="shared" si="9"/>
        <v>0.51851851851851849</v>
      </c>
      <c r="I74" s="273">
        <v>5484</v>
      </c>
      <c r="J74" s="274">
        <v>6558</v>
      </c>
      <c r="K74" s="262">
        <f t="shared" si="0"/>
        <v>0.1958</v>
      </c>
      <c r="L74" s="263">
        <f t="shared" si="10"/>
        <v>0</v>
      </c>
      <c r="M74" s="257">
        <f t="shared" si="11"/>
        <v>-3.2198275862068968</v>
      </c>
      <c r="N74" s="264">
        <f t="shared" si="1"/>
        <v>1.6775600073929429</v>
      </c>
      <c r="O74" s="182">
        <v>381</v>
      </c>
      <c r="P74" s="265">
        <f t="shared" si="15"/>
        <v>4.5999999999999999E-3</v>
      </c>
      <c r="Q74" s="266">
        <f t="shared" si="3"/>
        <v>2.14</v>
      </c>
      <c r="R74" s="267">
        <f t="shared" si="4"/>
        <v>0</v>
      </c>
      <c r="S74" s="268">
        <f t="shared" si="5"/>
        <v>0</v>
      </c>
      <c r="T74" s="269" t="str">
        <f t="shared" si="12"/>
        <v xml:space="preserve"> </v>
      </c>
      <c r="U74" s="270"/>
    </row>
    <row r="75" spans="1:23" ht="15.75" customHeight="1" x14ac:dyDescent="0.35">
      <c r="A75" s="272"/>
      <c r="B75" s="254" t="s">
        <v>380</v>
      </c>
      <c r="C75" s="255">
        <v>0.22900000000000001</v>
      </c>
      <c r="D75" s="256">
        <f t="shared" si="7"/>
        <v>2.081818181818182</v>
      </c>
      <c r="E75" s="173">
        <v>48909</v>
      </c>
      <c r="F75" s="257">
        <f t="shared" si="8"/>
        <v>1.3954691365597334</v>
      </c>
      <c r="G75" s="670">
        <v>9.5000000000000001E-2</v>
      </c>
      <c r="H75" s="259">
        <f t="shared" si="9"/>
        <v>3.5185185185185186</v>
      </c>
      <c r="I75" s="273">
        <v>6061</v>
      </c>
      <c r="J75" s="274">
        <v>6064</v>
      </c>
      <c r="K75" s="262">
        <f t="shared" si="0"/>
        <v>5.0000000000000001E-4</v>
      </c>
      <c r="L75" s="263">
        <f t="shared" si="10"/>
        <v>1</v>
      </c>
      <c r="M75" s="257">
        <f t="shared" si="11"/>
        <v>0.98922413793103448</v>
      </c>
      <c r="N75" s="264">
        <f t="shared" si="1"/>
        <v>7.9958058368964338</v>
      </c>
      <c r="O75" s="468">
        <v>475</v>
      </c>
      <c r="P75" s="265">
        <f t="shared" si="15"/>
        <v>9.7000000000000003E-3</v>
      </c>
      <c r="Q75" s="266">
        <f t="shared" si="3"/>
        <v>8.9700000000000006</v>
      </c>
      <c r="R75" s="267">
        <f t="shared" si="4"/>
        <v>0.75</v>
      </c>
      <c r="S75" s="268">
        <f t="shared" si="5"/>
        <v>0.80459999999999998</v>
      </c>
      <c r="T75" s="269">
        <f t="shared" si="12"/>
        <v>0.80459999999999998</v>
      </c>
      <c r="U75" s="270">
        <f t="shared" si="6"/>
        <v>0.80459999999999998</v>
      </c>
      <c r="V75" s="209" t="s">
        <v>278</v>
      </c>
    </row>
    <row r="76" spans="1:23" ht="15.65" hidden="1" customHeight="1" x14ac:dyDescent="0.35">
      <c r="A76" s="272"/>
      <c r="B76" s="254" t="s">
        <v>337</v>
      </c>
      <c r="C76" s="255">
        <v>0.16200000000000001</v>
      </c>
      <c r="D76" s="256">
        <f t="shared" si="7"/>
        <v>1.4727272727272727</v>
      </c>
      <c r="E76" s="173">
        <v>40396</v>
      </c>
      <c r="F76" s="257">
        <f t="shared" si="8"/>
        <v>1.689548470145559</v>
      </c>
      <c r="G76" s="258">
        <v>4.8000000000000001E-2</v>
      </c>
      <c r="H76" s="259">
        <f t="shared" si="9"/>
        <v>1.7777777777777779</v>
      </c>
      <c r="I76" s="273">
        <v>1241</v>
      </c>
      <c r="J76" s="274">
        <v>1094</v>
      </c>
      <c r="K76" s="262">
        <f t="shared" si="0"/>
        <v>-0.11849999999999999</v>
      </c>
      <c r="L76" s="263">
        <f t="shared" si="10"/>
        <v>2.5</v>
      </c>
      <c r="M76" s="257">
        <f t="shared" si="11"/>
        <v>3.5538793103448278</v>
      </c>
      <c r="N76" s="264">
        <f t="shared" si="1"/>
        <v>7.4400535206506095</v>
      </c>
      <c r="O76" s="179">
        <v>475</v>
      </c>
      <c r="P76" s="265">
        <f t="shared" si="15"/>
        <v>1.18E-2</v>
      </c>
      <c r="Q76" s="266">
        <f t="shared" si="3"/>
        <v>8.6199999999999992</v>
      </c>
      <c r="R76" s="267">
        <f t="shared" si="4"/>
        <v>0.5</v>
      </c>
      <c r="S76" s="268">
        <f t="shared" si="5"/>
        <v>0.74299999999999999</v>
      </c>
      <c r="T76" s="269">
        <f t="shared" si="12"/>
        <v>0.74299999999999999</v>
      </c>
      <c r="U76" s="270">
        <f t="shared" si="6"/>
        <v>0.74299999999999999</v>
      </c>
    </row>
    <row r="77" spans="1:23" ht="15.5" x14ac:dyDescent="0.35">
      <c r="A77" s="272"/>
      <c r="B77" s="254" t="s">
        <v>115</v>
      </c>
      <c r="C77" s="255">
        <v>0.14899999999999999</v>
      </c>
      <c r="D77" s="256">
        <f t="shared" si="7"/>
        <v>1.3545454545454545</v>
      </c>
      <c r="E77" s="173">
        <v>73611</v>
      </c>
      <c r="F77" s="257">
        <f t="shared" si="8"/>
        <v>0.92718479575063506</v>
      </c>
      <c r="G77" s="277">
        <v>8.3000000000000004E-2</v>
      </c>
      <c r="H77" s="278">
        <f t="shared" si="9"/>
        <v>3.0740740740740744</v>
      </c>
      <c r="I77" s="273">
        <v>569</v>
      </c>
      <c r="J77" s="274">
        <v>587</v>
      </c>
      <c r="K77" s="262">
        <f t="shared" ref="K77:K141" si="16">ROUND((J77-I77)/I77,4)</f>
        <v>3.1600000000000003E-2</v>
      </c>
      <c r="L77" s="263">
        <f t="shared" si="10"/>
        <v>1</v>
      </c>
      <c r="M77" s="257">
        <f t="shared" si="11"/>
        <v>0.31896551724137917</v>
      </c>
      <c r="N77" s="264">
        <f t="shared" ref="N77:N141" si="17">D77+F77+H77+L77</f>
        <v>6.3558043243701636</v>
      </c>
      <c r="O77" s="468">
        <v>588</v>
      </c>
      <c r="P77" s="265">
        <f t="shared" si="15"/>
        <v>8.0000000000000002E-3</v>
      </c>
      <c r="Q77" s="266">
        <f t="shared" si="3"/>
        <v>7.16</v>
      </c>
      <c r="R77" s="275">
        <f t="shared" si="4"/>
        <v>0.25</v>
      </c>
      <c r="S77" s="270">
        <f t="shared" si="5"/>
        <v>0.51270000000000004</v>
      </c>
      <c r="T77" s="269">
        <f t="shared" si="12"/>
        <v>0.51270000000000004</v>
      </c>
      <c r="U77" s="270">
        <f t="shared" si="6"/>
        <v>0</v>
      </c>
      <c r="V77" s="671" t="s">
        <v>1099</v>
      </c>
    </row>
    <row r="78" spans="1:23" ht="15.5" hidden="1" x14ac:dyDescent="0.35">
      <c r="A78" s="272"/>
      <c r="B78" s="254" t="s">
        <v>116</v>
      </c>
      <c r="C78" s="255">
        <v>0.12</v>
      </c>
      <c r="D78" s="256">
        <f t="shared" si="7"/>
        <v>1.0909090909090908</v>
      </c>
      <c r="E78" s="173">
        <v>47955</v>
      </c>
      <c r="F78" s="257">
        <f t="shared" si="8"/>
        <v>1.4232301115629236</v>
      </c>
      <c r="G78" s="277">
        <v>0.01</v>
      </c>
      <c r="H78" s="278">
        <f t="shared" si="9"/>
        <v>0.37037037037037041</v>
      </c>
      <c r="I78" s="273">
        <v>815</v>
      </c>
      <c r="J78" s="274">
        <v>850</v>
      </c>
      <c r="K78" s="262">
        <f t="shared" si="16"/>
        <v>4.2900000000000001E-2</v>
      </c>
      <c r="L78" s="263">
        <f t="shared" si="10"/>
        <v>1</v>
      </c>
      <c r="M78" s="257">
        <f t="shared" si="11"/>
        <v>7.5431034482758549E-2</v>
      </c>
      <c r="N78" s="264">
        <f t="shared" si="17"/>
        <v>3.8845095728423846</v>
      </c>
      <c r="O78" s="178">
        <v>269</v>
      </c>
      <c r="P78" s="265">
        <f t="shared" si="15"/>
        <v>5.5999999999999999E-3</v>
      </c>
      <c r="Q78" s="266">
        <f t="shared" si="3"/>
        <v>4.4400000000000004</v>
      </c>
      <c r="R78" s="275">
        <f t="shared" si="4"/>
        <v>0</v>
      </c>
      <c r="S78" s="270">
        <f t="shared" si="5"/>
        <v>0</v>
      </c>
      <c r="T78" s="269" t="str">
        <f t="shared" si="12"/>
        <v xml:space="preserve"> </v>
      </c>
      <c r="U78" s="270">
        <f t="shared" si="6"/>
        <v>0</v>
      </c>
    </row>
    <row r="79" spans="1:23" ht="15.5" hidden="1" x14ac:dyDescent="0.35">
      <c r="A79" s="272"/>
      <c r="B79" s="254" t="s">
        <v>279</v>
      </c>
      <c r="C79" s="255">
        <v>8.3000000000000004E-2</v>
      </c>
      <c r="D79" s="256">
        <f t="shared" si="7"/>
        <v>0.75454545454545463</v>
      </c>
      <c r="E79" s="173">
        <v>59432</v>
      </c>
      <c r="F79" s="257">
        <f t="shared" si="8"/>
        <v>1.1483880737649752</v>
      </c>
      <c r="G79" s="258">
        <v>3.6999999999999998E-2</v>
      </c>
      <c r="H79" s="259">
        <f t="shared" si="9"/>
        <v>1.3703703703703702</v>
      </c>
      <c r="I79" s="273">
        <v>4623</v>
      </c>
      <c r="J79" s="274">
        <v>4878</v>
      </c>
      <c r="K79" s="262">
        <f t="shared" si="16"/>
        <v>5.5199999999999999E-2</v>
      </c>
      <c r="L79" s="263">
        <f t="shared" si="10"/>
        <v>0.5</v>
      </c>
      <c r="M79" s="257">
        <f t="shared" si="11"/>
        <v>-0.18965517241379318</v>
      </c>
      <c r="N79" s="264">
        <f t="shared" si="17"/>
        <v>3.7733038986808003</v>
      </c>
      <c r="O79" s="178">
        <v>969</v>
      </c>
      <c r="P79" s="265">
        <f t="shared" si="15"/>
        <v>1.6299999999999999E-2</v>
      </c>
      <c r="Q79" s="266">
        <f t="shared" si="3"/>
        <v>5.4</v>
      </c>
      <c r="R79" s="275">
        <f t="shared" si="4"/>
        <v>0</v>
      </c>
      <c r="S79" s="270">
        <f t="shared" si="5"/>
        <v>0</v>
      </c>
      <c r="T79" s="269" t="str">
        <f t="shared" si="12"/>
        <v xml:space="preserve"> </v>
      </c>
      <c r="U79" s="270">
        <f t="shared" si="6"/>
        <v>0</v>
      </c>
    </row>
    <row r="80" spans="1:23" ht="15.5" hidden="1" x14ac:dyDescent="0.35">
      <c r="A80" s="272"/>
      <c r="B80" s="254" t="s">
        <v>117</v>
      </c>
      <c r="C80" s="255">
        <v>8.5999999999999993E-2</v>
      </c>
      <c r="D80" s="256">
        <f t="shared" si="7"/>
        <v>0.78181818181818175</v>
      </c>
      <c r="E80" s="173">
        <v>68082</v>
      </c>
      <c r="F80" s="257">
        <f t="shared" si="8"/>
        <v>1.0024823007549719</v>
      </c>
      <c r="G80" s="258">
        <v>0.05</v>
      </c>
      <c r="H80" s="259">
        <f t="shared" si="9"/>
        <v>1.8518518518518521</v>
      </c>
      <c r="I80" s="273">
        <v>11625</v>
      </c>
      <c r="J80" s="274">
        <v>10825</v>
      </c>
      <c r="K80" s="262">
        <f t="shared" si="16"/>
        <v>-6.88E-2</v>
      </c>
      <c r="L80" s="263">
        <f t="shared" si="10"/>
        <v>2</v>
      </c>
      <c r="M80" s="257">
        <f t="shared" si="11"/>
        <v>2.4827586206896552</v>
      </c>
      <c r="N80" s="264">
        <f t="shared" si="17"/>
        <v>5.636152334425006</v>
      </c>
      <c r="O80" s="175">
        <v>0</v>
      </c>
      <c r="P80" s="265">
        <v>9.7000000000000003E-3</v>
      </c>
      <c r="Q80" s="266">
        <f t="shared" si="3"/>
        <v>6.61</v>
      </c>
      <c r="R80" s="275">
        <f t="shared" si="4"/>
        <v>0.25</v>
      </c>
      <c r="S80" s="270">
        <f t="shared" si="5"/>
        <v>0.43690000000000001</v>
      </c>
      <c r="T80" s="269" t="str">
        <f t="shared" si="12"/>
        <v xml:space="preserve"> </v>
      </c>
      <c r="U80" s="270">
        <f t="shared" si="6"/>
        <v>0</v>
      </c>
    </row>
    <row r="81" spans="1:22" ht="15.5" hidden="1" x14ac:dyDescent="0.35">
      <c r="A81" s="272"/>
      <c r="B81" s="254" t="s">
        <v>118</v>
      </c>
      <c r="C81" s="255">
        <v>5.3999999999999999E-2</v>
      </c>
      <c r="D81" s="256">
        <f t="shared" ref="D81:D146" si="18">C81/$C$10</f>
        <v>0.49090909090909091</v>
      </c>
      <c r="E81" s="173">
        <v>73512</v>
      </c>
      <c r="F81" s="257">
        <f t="shared" ref="F81:F146" si="19">$E$10/E81</f>
        <v>0.92843345304168023</v>
      </c>
      <c r="G81" s="258">
        <v>1.4999999999999999E-2</v>
      </c>
      <c r="H81" s="259">
        <f t="shared" ref="H81:H146" si="20">G81/$G$10</f>
        <v>0.55555555555555558</v>
      </c>
      <c r="I81" s="273">
        <v>3651</v>
      </c>
      <c r="J81" s="274">
        <v>3506</v>
      </c>
      <c r="K81" s="262">
        <f t="shared" si="16"/>
        <v>-3.9699999999999999E-2</v>
      </c>
      <c r="L81" s="263">
        <f t="shared" ref="L81:L146" si="21">IF(K81&lt;=$K$10-0.2,3,IF(K81&lt;=$K$10-0.15,2.5,IF(K81&lt;=$K$10-0.1,2,IF(K81&lt;=$K$10-0.05,1.5,IF(K81&lt;=$K$10,1,IF(K81&lt;=$K$10+0.05,0.5,0))))))</f>
        <v>1.5</v>
      </c>
      <c r="M81" s="257">
        <f t="shared" ref="M81:M146" si="22">($K$10-K81)/$K$10</f>
        <v>1.8556034482758621</v>
      </c>
      <c r="N81" s="264">
        <f t="shared" si="17"/>
        <v>3.4748980995063268</v>
      </c>
      <c r="O81" s="175">
        <v>733</v>
      </c>
      <c r="P81" s="265">
        <f t="shared" ref="P81:P107" si="23">ROUND(O81/E81,4)</f>
        <v>0.01</v>
      </c>
      <c r="Q81" s="266">
        <f t="shared" ref="Q81:Q148" si="24">ROUND(N81+(P81*100),2)</f>
        <v>4.47</v>
      </c>
      <c r="R81" s="275">
        <f t="shared" ref="R81:R148" si="25">ROUND(IF($Q81&gt;=10,1,IF($Q81&gt;=8.75,0.75,IF($Q81&gt;=7.5,0.5,IF($Q81&gt;=6.25,0.25,0)))),4)</f>
        <v>0</v>
      </c>
      <c r="S81" s="270">
        <f t="shared" ref="S81:S148" si="26">ROUND(IF($Q81&gt;=10,1,IF($Q81&gt;=6.25,$Q81*$Q81/100,0)),4)</f>
        <v>0</v>
      </c>
      <c r="T81" s="269" t="str">
        <f t="shared" si="12"/>
        <v xml:space="preserve"> </v>
      </c>
      <c r="U81" s="270">
        <f t="shared" ref="U81:U148" si="27">ROUND(IF($Q81&gt;=10,1,IF($Q81&gt;=7.5,$Q81*$Q81/100,0)),4)</f>
        <v>0</v>
      </c>
    </row>
    <row r="82" spans="1:22" ht="15.5" hidden="1" x14ac:dyDescent="0.35">
      <c r="A82" s="272"/>
      <c r="B82" s="254" t="s">
        <v>119</v>
      </c>
      <c r="C82" s="255">
        <v>7.9000000000000001E-2</v>
      </c>
      <c r="D82" s="256">
        <f t="shared" si="18"/>
        <v>0.71818181818181814</v>
      </c>
      <c r="E82" s="173">
        <v>52500</v>
      </c>
      <c r="F82" s="257">
        <f t="shared" si="19"/>
        <v>1.3000190476190476</v>
      </c>
      <c r="G82" s="277">
        <v>0.01</v>
      </c>
      <c r="H82" s="278">
        <f t="shared" si="20"/>
        <v>0.37037037037037041</v>
      </c>
      <c r="I82" s="273">
        <v>974</v>
      </c>
      <c r="J82" s="274">
        <v>1008</v>
      </c>
      <c r="K82" s="262">
        <f t="shared" si="16"/>
        <v>3.49E-2</v>
      </c>
      <c r="L82" s="263">
        <f t="shared" si="21"/>
        <v>1</v>
      </c>
      <c r="M82" s="257">
        <f t="shared" si="22"/>
        <v>0.24784482758620682</v>
      </c>
      <c r="N82" s="264">
        <f t="shared" si="17"/>
        <v>3.3885712361712361</v>
      </c>
      <c r="O82" s="179">
        <v>295</v>
      </c>
      <c r="P82" s="265">
        <f t="shared" si="23"/>
        <v>5.5999999999999999E-3</v>
      </c>
      <c r="Q82" s="266">
        <f t="shared" si="24"/>
        <v>3.95</v>
      </c>
      <c r="R82" s="267">
        <f t="shared" si="25"/>
        <v>0</v>
      </c>
      <c r="S82" s="268">
        <f t="shared" si="26"/>
        <v>0</v>
      </c>
      <c r="T82" s="269" t="str">
        <f t="shared" ref="T82:T149" si="28">IF($Q82&lt;7," ",ROUND(IF($Q82&gt;=10,1,IF($Q82&gt;=7,$Q82*$Q82/100,)),4))</f>
        <v xml:space="preserve"> </v>
      </c>
      <c r="U82" s="270">
        <f t="shared" si="27"/>
        <v>0</v>
      </c>
    </row>
    <row r="83" spans="1:22" ht="15.5" hidden="1" x14ac:dyDescent="0.35">
      <c r="A83" s="272"/>
      <c r="B83" s="254" t="s">
        <v>120</v>
      </c>
      <c r="C83" s="255">
        <v>9.4E-2</v>
      </c>
      <c r="D83" s="256">
        <f t="shared" si="18"/>
        <v>0.8545454545454545</v>
      </c>
      <c r="E83" s="173">
        <v>67316</v>
      </c>
      <c r="F83" s="257">
        <f t="shared" si="19"/>
        <v>1.0138897141838492</v>
      </c>
      <c r="G83" s="258">
        <v>0.02</v>
      </c>
      <c r="H83" s="259">
        <f t="shared" si="20"/>
        <v>0.74074074074074081</v>
      </c>
      <c r="I83" s="273">
        <v>9819</v>
      </c>
      <c r="J83" s="274">
        <v>9535</v>
      </c>
      <c r="K83" s="262">
        <f t="shared" si="16"/>
        <v>-2.8899999999999999E-2</v>
      </c>
      <c r="L83" s="263">
        <f t="shared" si="21"/>
        <v>1.5</v>
      </c>
      <c r="M83" s="257">
        <f t="shared" si="22"/>
        <v>1.6228448275862069</v>
      </c>
      <c r="N83" s="264">
        <f t="shared" si="17"/>
        <v>4.1091759094700446</v>
      </c>
      <c r="O83" s="174">
        <v>425</v>
      </c>
      <c r="P83" s="265">
        <f t="shared" si="23"/>
        <v>6.3E-3</v>
      </c>
      <c r="Q83" s="266">
        <f t="shared" si="24"/>
        <v>4.74</v>
      </c>
      <c r="R83" s="275">
        <f t="shared" si="25"/>
        <v>0</v>
      </c>
      <c r="S83" s="270">
        <f t="shared" si="26"/>
        <v>0</v>
      </c>
      <c r="T83" s="269" t="str">
        <f t="shared" si="28"/>
        <v xml:space="preserve"> </v>
      </c>
      <c r="U83" s="270">
        <f t="shared" si="27"/>
        <v>0</v>
      </c>
      <c r="V83" s="209" t="s">
        <v>280</v>
      </c>
    </row>
    <row r="84" spans="1:22" ht="15.5" x14ac:dyDescent="0.35">
      <c r="A84" s="272"/>
      <c r="B84" s="254" t="s">
        <v>121</v>
      </c>
      <c r="C84" s="255">
        <v>0.17799999999999999</v>
      </c>
      <c r="D84" s="256">
        <f t="shared" si="18"/>
        <v>1.6181818181818182</v>
      </c>
      <c r="E84" s="173">
        <v>54317</v>
      </c>
      <c r="F84" s="257">
        <f t="shared" si="19"/>
        <v>1.2565311044424397</v>
      </c>
      <c r="G84" s="670">
        <v>3.5000000000000003E-2</v>
      </c>
      <c r="H84" s="259">
        <f t="shared" si="20"/>
        <v>1.2962962962962965</v>
      </c>
      <c r="I84" s="273">
        <v>36438</v>
      </c>
      <c r="J84" s="274">
        <v>38493</v>
      </c>
      <c r="K84" s="262">
        <f t="shared" si="16"/>
        <v>5.6399999999999999E-2</v>
      </c>
      <c r="L84" s="263">
        <f t="shared" si="21"/>
        <v>0.5</v>
      </c>
      <c r="M84" s="257">
        <f t="shared" si="22"/>
        <v>-0.21551724137931041</v>
      </c>
      <c r="N84" s="264">
        <f t="shared" si="17"/>
        <v>4.6710092189205543</v>
      </c>
      <c r="O84" s="468">
        <v>515</v>
      </c>
      <c r="P84" s="265">
        <f t="shared" si="23"/>
        <v>9.4999999999999998E-3</v>
      </c>
      <c r="Q84" s="266">
        <f t="shared" si="24"/>
        <v>5.62</v>
      </c>
      <c r="R84" s="275">
        <f t="shared" si="25"/>
        <v>0</v>
      </c>
      <c r="S84" s="270">
        <f t="shared" si="26"/>
        <v>0</v>
      </c>
      <c r="T84" s="269" t="str">
        <f t="shared" si="28"/>
        <v xml:space="preserve"> </v>
      </c>
      <c r="U84" s="270">
        <f t="shared" si="27"/>
        <v>0</v>
      </c>
    </row>
    <row r="85" spans="1:22" ht="15.5" x14ac:dyDescent="0.35">
      <c r="A85" s="272"/>
      <c r="B85" s="254" t="s">
        <v>343</v>
      </c>
      <c r="C85" s="255">
        <f>0.3*C14+0.7*C84</f>
        <v>0.1588</v>
      </c>
      <c r="D85" s="256">
        <f t="shared" si="18"/>
        <v>1.4436363636363636</v>
      </c>
      <c r="E85" s="173">
        <v>50269</v>
      </c>
      <c r="F85" s="257">
        <f t="shared" si="19"/>
        <v>1.3577154906602478</v>
      </c>
      <c r="G85" s="255">
        <f>0.3*G14+0.7*G84</f>
        <v>3.6799999999999999E-2</v>
      </c>
      <c r="H85" s="259">
        <f t="shared" si="20"/>
        <v>1.3629629629629629</v>
      </c>
      <c r="I85" s="273">
        <f>0.3*I14+0.7*I84</f>
        <v>32394.899999999998</v>
      </c>
      <c r="J85" s="274">
        <f>0.3*J14+0.7*J84</f>
        <v>34203</v>
      </c>
      <c r="K85" s="262">
        <f t="shared" si="16"/>
        <v>5.5800000000000002E-2</v>
      </c>
      <c r="L85" s="263">
        <f t="shared" si="21"/>
        <v>0.5</v>
      </c>
      <c r="M85" s="257">
        <f t="shared" si="22"/>
        <v>-0.20258620689655185</v>
      </c>
      <c r="N85" s="264">
        <f t="shared" si="17"/>
        <v>4.6643148172595748</v>
      </c>
      <c r="O85" s="468">
        <v>519</v>
      </c>
      <c r="P85" s="265">
        <f t="shared" si="23"/>
        <v>1.03E-2</v>
      </c>
      <c r="Q85" s="266">
        <f t="shared" si="24"/>
        <v>5.69</v>
      </c>
      <c r="R85" s="275">
        <f t="shared" si="25"/>
        <v>0</v>
      </c>
      <c r="S85" s="270">
        <f t="shared" si="26"/>
        <v>0</v>
      </c>
      <c r="T85" s="269" t="str">
        <f t="shared" si="28"/>
        <v xml:space="preserve"> </v>
      </c>
      <c r="U85" s="270">
        <f t="shared" si="27"/>
        <v>0</v>
      </c>
      <c r="V85" s="671" t="s">
        <v>1103</v>
      </c>
    </row>
    <row r="86" spans="1:22" ht="15.5" x14ac:dyDescent="0.35">
      <c r="A86" s="272"/>
      <c r="B86" s="254" t="s">
        <v>122</v>
      </c>
      <c r="C86" s="255">
        <v>0.1</v>
      </c>
      <c r="D86" s="256">
        <f t="shared" si="18"/>
        <v>0.90909090909090917</v>
      </c>
      <c r="E86" s="173">
        <v>84464</v>
      </c>
      <c r="F86" s="257">
        <f t="shared" si="19"/>
        <v>0.80804839931805261</v>
      </c>
      <c r="G86" s="277">
        <v>3.1E-2</v>
      </c>
      <c r="H86" s="278">
        <f t="shared" si="20"/>
        <v>1.1481481481481481</v>
      </c>
      <c r="I86" s="273">
        <v>2909</v>
      </c>
      <c r="J86" s="274">
        <v>3441</v>
      </c>
      <c r="K86" s="262">
        <f t="shared" si="16"/>
        <v>0.18290000000000001</v>
      </c>
      <c r="L86" s="263">
        <f t="shared" si="21"/>
        <v>0</v>
      </c>
      <c r="M86" s="257">
        <f t="shared" si="22"/>
        <v>-2.9418103448275867</v>
      </c>
      <c r="N86" s="264">
        <f t="shared" si="17"/>
        <v>2.8652874565571098</v>
      </c>
      <c r="O86" s="468">
        <v>510</v>
      </c>
      <c r="P86" s="265">
        <f t="shared" si="23"/>
        <v>6.0000000000000001E-3</v>
      </c>
      <c r="Q86" s="266">
        <f t="shared" si="24"/>
        <v>3.47</v>
      </c>
      <c r="R86" s="275">
        <f t="shared" si="25"/>
        <v>0</v>
      </c>
      <c r="S86" s="270">
        <f t="shared" si="26"/>
        <v>0</v>
      </c>
      <c r="T86" s="269" t="str">
        <f t="shared" si="28"/>
        <v xml:space="preserve"> </v>
      </c>
      <c r="U86" s="270">
        <f t="shared" si="27"/>
        <v>0</v>
      </c>
      <c r="V86" s="209" t="s">
        <v>1034</v>
      </c>
    </row>
    <row r="87" spans="1:22" ht="15.5" hidden="1" x14ac:dyDescent="0.35">
      <c r="A87" s="272"/>
      <c r="B87" s="254" t="s">
        <v>239</v>
      </c>
      <c r="C87" s="255">
        <v>0.14000000000000001</v>
      </c>
      <c r="D87" s="256">
        <f t="shared" si="18"/>
        <v>1.2727272727272729</v>
      </c>
      <c r="E87" s="173">
        <v>32292</v>
      </c>
      <c r="F87" s="257">
        <f t="shared" si="19"/>
        <v>2.1135575374705811</v>
      </c>
      <c r="G87" s="258">
        <v>8.9999999999999993E-3</v>
      </c>
      <c r="H87" s="259">
        <f t="shared" si="20"/>
        <v>0.33333333333333331</v>
      </c>
      <c r="I87" s="273">
        <v>5085</v>
      </c>
      <c r="J87" s="274">
        <v>4853</v>
      </c>
      <c r="K87" s="262">
        <f t="shared" si="16"/>
        <v>-4.5600000000000002E-2</v>
      </c>
      <c r="L87" s="263">
        <f t="shared" si="21"/>
        <v>1.5</v>
      </c>
      <c r="M87" s="257">
        <f t="shared" si="22"/>
        <v>1.9827586206896552</v>
      </c>
      <c r="N87" s="264">
        <f t="shared" si="17"/>
        <v>5.2196181435311875</v>
      </c>
      <c r="O87" s="176">
        <v>788</v>
      </c>
      <c r="P87" s="265">
        <f t="shared" si="23"/>
        <v>2.4400000000000002E-2</v>
      </c>
      <c r="Q87" s="266">
        <f t="shared" si="24"/>
        <v>7.66</v>
      </c>
      <c r="R87" s="267">
        <f t="shared" si="25"/>
        <v>0.5</v>
      </c>
      <c r="S87" s="268">
        <f t="shared" si="26"/>
        <v>0.58679999999999999</v>
      </c>
      <c r="T87" s="269">
        <f t="shared" si="28"/>
        <v>0.58679999999999999</v>
      </c>
      <c r="U87" s="268">
        <f t="shared" si="27"/>
        <v>0.58679999999999999</v>
      </c>
      <c r="V87" s="209" t="s">
        <v>281</v>
      </c>
    </row>
    <row r="88" spans="1:22" ht="15.5" x14ac:dyDescent="0.35">
      <c r="A88" s="272"/>
      <c r="B88" s="254" t="s">
        <v>282</v>
      </c>
      <c r="C88" s="255">
        <v>6.8000000000000005E-2</v>
      </c>
      <c r="D88" s="256">
        <f t="shared" si="18"/>
        <v>0.61818181818181828</v>
      </c>
      <c r="E88" s="183">
        <v>47557</v>
      </c>
      <c r="F88" s="257">
        <f t="shared" si="19"/>
        <v>1.4351409887082869</v>
      </c>
      <c r="G88" s="670">
        <v>0.05</v>
      </c>
      <c r="H88" s="259">
        <f t="shared" si="20"/>
        <v>1.8518518518518521</v>
      </c>
      <c r="I88" s="273">
        <v>2171</v>
      </c>
      <c r="J88" s="274">
        <v>2362</v>
      </c>
      <c r="K88" s="262">
        <f t="shared" si="16"/>
        <v>8.7999999999999995E-2</v>
      </c>
      <c r="L88" s="263">
        <f t="shared" si="21"/>
        <v>0.5</v>
      </c>
      <c r="M88" s="257">
        <f t="shared" si="22"/>
        <v>-0.89655172413793105</v>
      </c>
      <c r="N88" s="264">
        <f t="shared" si="17"/>
        <v>4.4051746587419576</v>
      </c>
      <c r="O88" s="468">
        <v>2264</v>
      </c>
      <c r="P88" s="265">
        <f t="shared" si="23"/>
        <v>4.7600000000000003E-2</v>
      </c>
      <c r="Q88" s="266">
        <f t="shared" si="24"/>
        <v>9.17</v>
      </c>
      <c r="R88" s="275">
        <f t="shared" si="25"/>
        <v>0.75</v>
      </c>
      <c r="S88" s="270">
        <f t="shared" si="26"/>
        <v>0.84089999999999998</v>
      </c>
      <c r="T88" s="269">
        <f t="shared" si="28"/>
        <v>0.84089999999999998</v>
      </c>
      <c r="U88" s="270">
        <f t="shared" si="27"/>
        <v>0.84089999999999998</v>
      </c>
      <c r="V88" s="671" t="s">
        <v>381</v>
      </c>
    </row>
    <row r="89" spans="1:22" ht="15.5" hidden="1" x14ac:dyDescent="0.35">
      <c r="A89" s="272"/>
      <c r="B89" s="254" t="s">
        <v>123</v>
      </c>
      <c r="C89" s="255">
        <v>8.5000000000000006E-2</v>
      </c>
      <c r="D89" s="256">
        <f t="shared" si="18"/>
        <v>0.77272727272727282</v>
      </c>
      <c r="E89" s="173">
        <v>57568</v>
      </c>
      <c r="F89" s="257">
        <f t="shared" si="19"/>
        <v>1.1855718454697053</v>
      </c>
      <c r="G89" s="258">
        <v>1.9E-2</v>
      </c>
      <c r="H89" s="259">
        <f t="shared" si="20"/>
        <v>0.70370370370370372</v>
      </c>
      <c r="I89" s="273">
        <v>9005</v>
      </c>
      <c r="J89" s="274">
        <v>9050</v>
      </c>
      <c r="K89" s="262">
        <f t="shared" si="16"/>
        <v>5.0000000000000001E-3</v>
      </c>
      <c r="L89" s="263">
        <f t="shared" si="21"/>
        <v>1</v>
      </c>
      <c r="M89" s="257">
        <f t="shared" si="22"/>
        <v>0.89224137931034486</v>
      </c>
      <c r="N89" s="264">
        <f t="shared" si="17"/>
        <v>3.6620028219006819</v>
      </c>
      <c r="O89" s="175">
        <v>672</v>
      </c>
      <c r="P89" s="265">
        <f t="shared" si="23"/>
        <v>1.17E-2</v>
      </c>
      <c r="Q89" s="266">
        <f t="shared" si="24"/>
        <v>4.83</v>
      </c>
      <c r="R89" s="275">
        <f t="shared" si="25"/>
        <v>0</v>
      </c>
      <c r="S89" s="270">
        <f t="shared" si="26"/>
        <v>0</v>
      </c>
      <c r="T89" s="269" t="str">
        <f t="shared" si="28"/>
        <v xml:space="preserve"> </v>
      </c>
      <c r="U89" s="270">
        <f t="shared" si="27"/>
        <v>0</v>
      </c>
    </row>
    <row r="90" spans="1:22" ht="15.5" hidden="1" x14ac:dyDescent="0.35">
      <c r="A90" s="272"/>
      <c r="B90" s="254" t="s">
        <v>382</v>
      </c>
      <c r="C90" s="255">
        <v>0.20499999999999999</v>
      </c>
      <c r="D90" s="256">
        <f t="shared" si="18"/>
        <v>1.8636363636363635</v>
      </c>
      <c r="E90" s="173">
        <v>35546</v>
      </c>
      <c r="F90" s="257">
        <f t="shared" si="19"/>
        <v>1.9200753952624767</v>
      </c>
      <c r="G90" s="258">
        <v>4.4999999999999998E-2</v>
      </c>
      <c r="H90" s="259">
        <f t="shared" si="20"/>
        <v>1.6666666666666665</v>
      </c>
      <c r="I90" s="273">
        <v>3171</v>
      </c>
      <c r="J90" s="274">
        <v>3080</v>
      </c>
      <c r="K90" s="262">
        <f t="shared" si="16"/>
        <v>-2.87E-2</v>
      </c>
      <c r="L90" s="263">
        <f t="shared" si="21"/>
        <v>1.5</v>
      </c>
      <c r="M90" s="257">
        <f t="shared" si="22"/>
        <v>1.6185344827586208</v>
      </c>
      <c r="N90" s="264">
        <f t="shared" si="17"/>
        <v>6.950378425565507</v>
      </c>
      <c r="O90" s="177">
        <v>998</v>
      </c>
      <c r="P90" s="265">
        <f t="shared" si="23"/>
        <v>2.81E-2</v>
      </c>
      <c r="Q90" s="266">
        <f t="shared" si="24"/>
        <v>9.76</v>
      </c>
      <c r="R90" s="267">
        <f t="shared" si="25"/>
        <v>0.75</v>
      </c>
      <c r="S90" s="268">
        <f t="shared" si="26"/>
        <v>0.9526</v>
      </c>
      <c r="T90" s="269">
        <f t="shared" si="28"/>
        <v>0.9526</v>
      </c>
      <c r="U90" s="270">
        <f t="shared" si="27"/>
        <v>0.9526</v>
      </c>
      <c r="V90" s="209" t="s">
        <v>383</v>
      </c>
    </row>
    <row r="91" spans="1:22" ht="15.5" hidden="1" x14ac:dyDescent="0.35">
      <c r="A91" s="272"/>
      <c r="B91" s="254" t="s">
        <v>238</v>
      </c>
      <c r="C91" s="255">
        <v>0.185</v>
      </c>
      <c r="D91" s="256">
        <f t="shared" si="18"/>
        <v>1.6818181818181819</v>
      </c>
      <c r="E91" s="173">
        <v>38750</v>
      </c>
      <c r="F91" s="257">
        <f t="shared" si="19"/>
        <v>1.7613161290322581</v>
      </c>
      <c r="G91" s="277">
        <v>1.0999999999999999E-2</v>
      </c>
      <c r="H91" s="278">
        <f t="shared" si="20"/>
        <v>0.40740740740740738</v>
      </c>
      <c r="I91" s="273">
        <v>2314</v>
      </c>
      <c r="J91" s="274">
        <v>1526</v>
      </c>
      <c r="K91" s="262">
        <f t="shared" si="16"/>
        <v>-0.34050000000000002</v>
      </c>
      <c r="L91" s="263">
        <f t="shared" si="21"/>
        <v>3</v>
      </c>
      <c r="M91" s="257">
        <f t="shared" si="22"/>
        <v>8.3383620689655178</v>
      </c>
      <c r="N91" s="264">
        <f t="shared" si="17"/>
        <v>6.8505417182578476</v>
      </c>
      <c r="O91" s="176">
        <v>850</v>
      </c>
      <c r="P91" s="265">
        <f t="shared" si="23"/>
        <v>2.1899999999999999E-2</v>
      </c>
      <c r="Q91" s="266">
        <f t="shared" si="24"/>
        <v>9.0399999999999991</v>
      </c>
      <c r="R91" s="267">
        <f t="shared" si="25"/>
        <v>0.75</v>
      </c>
      <c r="S91" s="268">
        <f t="shared" si="26"/>
        <v>0.81720000000000004</v>
      </c>
      <c r="T91" s="269">
        <f t="shared" si="28"/>
        <v>0.81720000000000004</v>
      </c>
      <c r="U91" s="268">
        <f t="shared" si="27"/>
        <v>0.81720000000000004</v>
      </c>
    </row>
    <row r="92" spans="1:22" ht="15.5" x14ac:dyDescent="0.35">
      <c r="A92" s="272"/>
      <c r="B92" s="254" t="s">
        <v>124</v>
      </c>
      <c r="C92" s="255">
        <v>0.26300000000000001</v>
      </c>
      <c r="D92" s="256">
        <f t="shared" si="18"/>
        <v>2.3909090909090911</v>
      </c>
      <c r="E92" s="173">
        <v>36875</v>
      </c>
      <c r="F92" s="257">
        <f t="shared" si="19"/>
        <v>1.8508745762711865</v>
      </c>
      <c r="G92" s="670">
        <v>2.8000000000000001E-2</v>
      </c>
      <c r="H92" s="259">
        <f t="shared" si="20"/>
        <v>1.037037037037037</v>
      </c>
      <c r="I92" s="273">
        <v>1340</v>
      </c>
      <c r="J92" s="274">
        <v>1245</v>
      </c>
      <c r="K92" s="262">
        <f t="shared" si="16"/>
        <v>-7.0900000000000005E-2</v>
      </c>
      <c r="L92" s="263">
        <f t="shared" si="21"/>
        <v>2</v>
      </c>
      <c r="M92" s="257">
        <f t="shared" si="22"/>
        <v>2.5280172413793105</v>
      </c>
      <c r="N92" s="264">
        <f t="shared" si="17"/>
        <v>7.2788207042173143</v>
      </c>
      <c r="O92" s="468">
        <v>494</v>
      </c>
      <c r="P92" s="265">
        <f t="shared" si="23"/>
        <v>1.34E-2</v>
      </c>
      <c r="Q92" s="266">
        <f t="shared" si="24"/>
        <v>8.6199999999999992</v>
      </c>
      <c r="R92" s="267">
        <f t="shared" si="25"/>
        <v>0.5</v>
      </c>
      <c r="S92" s="268">
        <f t="shared" si="26"/>
        <v>0.74299999999999999</v>
      </c>
      <c r="T92" s="269">
        <f t="shared" si="28"/>
        <v>0.74299999999999999</v>
      </c>
      <c r="U92" s="268">
        <f t="shared" si="27"/>
        <v>0.74299999999999999</v>
      </c>
      <c r="V92" s="209" t="s">
        <v>283</v>
      </c>
    </row>
    <row r="93" spans="1:22" ht="15.5" x14ac:dyDescent="0.35">
      <c r="A93" s="279"/>
      <c r="B93" s="254" t="s">
        <v>125</v>
      </c>
      <c r="C93" s="255">
        <v>0.36299999999999999</v>
      </c>
      <c r="D93" s="256">
        <f t="shared" si="18"/>
        <v>3.3</v>
      </c>
      <c r="E93" s="173">
        <v>20333</v>
      </c>
      <c r="F93" s="257">
        <f t="shared" si="19"/>
        <v>3.3566615846161412</v>
      </c>
      <c r="G93" s="670">
        <v>3.5000000000000003E-2</v>
      </c>
      <c r="H93" s="259">
        <f t="shared" si="20"/>
        <v>1.2962962962962965</v>
      </c>
      <c r="I93" s="273">
        <v>2185</v>
      </c>
      <c r="J93" s="274">
        <v>2062</v>
      </c>
      <c r="K93" s="262">
        <f t="shared" si="16"/>
        <v>-5.6300000000000003E-2</v>
      </c>
      <c r="L93" s="263">
        <f t="shared" si="21"/>
        <v>2</v>
      </c>
      <c r="M93" s="257">
        <f t="shared" si="22"/>
        <v>2.2133620689655173</v>
      </c>
      <c r="N93" s="264">
        <f t="shared" si="17"/>
        <v>9.9529578809124377</v>
      </c>
      <c r="O93" s="468">
        <v>679</v>
      </c>
      <c r="P93" s="265">
        <f t="shared" si="23"/>
        <v>3.3399999999999999E-2</v>
      </c>
      <c r="Q93" s="266">
        <f t="shared" si="24"/>
        <v>13.29</v>
      </c>
      <c r="R93" s="267">
        <f t="shared" si="25"/>
        <v>1</v>
      </c>
      <c r="S93" s="268">
        <f t="shared" si="26"/>
        <v>1</v>
      </c>
      <c r="T93" s="269">
        <f t="shared" si="28"/>
        <v>1</v>
      </c>
      <c r="U93" s="270">
        <f t="shared" si="27"/>
        <v>1</v>
      </c>
      <c r="V93" s="209" t="s">
        <v>284</v>
      </c>
    </row>
    <row r="94" spans="1:22" ht="15.5" hidden="1" x14ac:dyDescent="0.35">
      <c r="A94" s="276"/>
      <c r="B94" s="254" t="s">
        <v>126</v>
      </c>
      <c r="C94" s="255">
        <v>0.186</v>
      </c>
      <c r="D94" s="256">
        <f t="shared" si="18"/>
        <v>1.6909090909090909</v>
      </c>
      <c r="E94" s="173">
        <v>37019</v>
      </c>
      <c r="F94" s="257">
        <f t="shared" si="19"/>
        <v>1.8436748696615253</v>
      </c>
      <c r="G94" s="258">
        <v>5.2999999999999999E-2</v>
      </c>
      <c r="H94" s="259">
        <f t="shared" si="20"/>
        <v>1.962962962962963</v>
      </c>
      <c r="I94" s="273">
        <v>4002</v>
      </c>
      <c r="J94" s="274">
        <v>3859</v>
      </c>
      <c r="K94" s="262">
        <f t="shared" si="16"/>
        <v>-3.5700000000000003E-2</v>
      </c>
      <c r="L94" s="263">
        <f t="shared" si="21"/>
        <v>1.5</v>
      </c>
      <c r="M94" s="257">
        <f t="shared" si="22"/>
        <v>1.7693965517241381</v>
      </c>
      <c r="N94" s="264">
        <f t="shared" si="17"/>
        <v>6.9975469235335792</v>
      </c>
      <c r="O94" s="177">
        <v>538</v>
      </c>
      <c r="P94" s="265">
        <f t="shared" si="23"/>
        <v>1.4500000000000001E-2</v>
      </c>
      <c r="Q94" s="266">
        <f t="shared" si="24"/>
        <v>8.4499999999999993</v>
      </c>
      <c r="R94" s="267">
        <f t="shared" si="25"/>
        <v>0.5</v>
      </c>
      <c r="S94" s="268">
        <f t="shared" si="26"/>
        <v>0.71399999999999997</v>
      </c>
      <c r="T94" s="269">
        <f t="shared" si="28"/>
        <v>0.71399999999999997</v>
      </c>
      <c r="U94" s="270">
        <f t="shared" si="27"/>
        <v>0.71399999999999997</v>
      </c>
      <c r="V94" s="209" t="s">
        <v>285</v>
      </c>
    </row>
    <row r="95" spans="1:22" ht="15.5" x14ac:dyDescent="0.35">
      <c r="A95" s="272"/>
      <c r="B95" s="254" t="s">
        <v>127</v>
      </c>
      <c r="C95" s="255">
        <v>0.248</v>
      </c>
      <c r="D95" s="256">
        <f t="shared" si="18"/>
        <v>2.2545454545454544</v>
      </c>
      <c r="E95" s="173">
        <v>32602</v>
      </c>
      <c r="F95" s="257">
        <f t="shared" si="19"/>
        <v>2.0934605238942394</v>
      </c>
      <c r="G95" s="670">
        <v>0.01</v>
      </c>
      <c r="H95" s="259">
        <f t="shared" si="20"/>
        <v>0.37037037037037041</v>
      </c>
      <c r="I95" s="273">
        <v>4802</v>
      </c>
      <c r="J95" s="274">
        <v>4785</v>
      </c>
      <c r="K95" s="262">
        <f t="shared" si="16"/>
        <v>-3.5000000000000001E-3</v>
      </c>
      <c r="L95" s="263">
        <f t="shared" si="21"/>
        <v>1</v>
      </c>
      <c r="M95" s="257">
        <f t="shared" si="22"/>
        <v>1.0754310344827587</v>
      </c>
      <c r="N95" s="264">
        <f t="shared" si="17"/>
        <v>5.7183763488100645</v>
      </c>
      <c r="O95" s="468">
        <v>816</v>
      </c>
      <c r="P95" s="265">
        <f t="shared" si="23"/>
        <v>2.5000000000000001E-2</v>
      </c>
      <c r="Q95" s="266">
        <f t="shared" si="24"/>
        <v>8.2200000000000006</v>
      </c>
      <c r="R95" s="267">
        <f t="shared" si="25"/>
        <v>0.5</v>
      </c>
      <c r="S95" s="268">
        <f t="shared" si="26"/>
        <v>0.67569999999999997</v>
      </c>
      <c r="T95" s="269">
        <f t="shared" si="28"/>
        <v>0.67569999999999997</v>
      </c>
      <c r="U95" s="270">
        <f t="shared" si="27"/>
        <v>0.67569999999999997</v>
      </c>
      <c r="V95" s="209" t="s">
        <v>286</v>
      </c>
    </row>
    <row r="96" spans="1:22" ht="15.5" hidden="1" x14ac:dyDescent="0.35">
      <c r="A96" s="272"/>
      <c r="B96" s="254" t="s">
        <v>128</v>
      </c>
      <c r="C96" s="255">
        <v>6.3E-2</v>
      </c>
      <c r="D96" s="256">
        <f t="shared" si="18"/>
        <v>0.57272727272727275</v>
      </c>
      <c r="E96" s="173">
        <v>76350</v>
      </c>
      <c r="F96" s="257">
        <f t="shared" si="19"/>
        <v>0.89392272429600528</v>
      </c>
      <c r="G96" s="258">
        <v>6.0000000000000001E-3</v>
      </c>
      <c r="H96" s="259">
        <f t="shared" si="20"/>
        <v>0.22222222222222224</v>
      </c>
      <c r="I96" s="273">
        <v>2567</v>
      </c>
      <c r="J96" s="274">
        <v>2459</v>
      </c>
      <c r="K96" s="262">
        <f t="shared" si="16"/>
        <v>-4.2099999999999999E-2</v>
      </c>
      <c r="L96" s="263">
        <f t="shared" si="21"/>
        <v>1.5</v>
      </c>
      <c r="M96" s="257">
        <f t="shared" si="22"/>
        <v>1.9073275862068966</v>
      </c>
      <c r="N96" s="264">
        <f t="shared" si="17"/>
        <v>3.1888722192455004</v>
      </c>
      <c r="O96" s="174">
        <v>280</v>
      </c>
      <c r="P96" s="265">
        <f t="shared" si="23"/>
        <v>3.7000000000000002E-3</v>
      </c>
      <c r="Q96" s="266">
        <f t="shared" si="24"/>
        <v>3.56</v>
      </c>
      <c r="R96" s="275">
        <f t="shared" si="25"/>
        <v>0</v>
      </c>
      <c r="S96" s="270">
        <f t="shared" si="26"/>
        <v>0</v>
      </c>
      <c r="T96" s="269" t="str">
        <f t="shared" si="28"/>
        <v xml:space="preserve"> </v>
      </c>
      <c r="U96" s="270">
        <f t="shared" si="27"/>
        <v>0</v>
      </c>
    </row>
    <row r="97" spans="1:22" ht="15.5" x14ac:dyDescent="0.35">
      <c r="A97" s="272"/>
      <c r="B97" s="254" t="s">
        <v>129</v>
      </c>
      <c r="C97" s="255">
        <v>9.5000000000000001E-2</v>
      </c>
      <c r="D97" s="256">
        <f t="shared" si="18"/>
        <v>0.86363636363636365</v>
      </c>
      <c r="E97" s="173">
        <v>25000</v>
      </c>
      <c r="F97" s="257">
        <f t="shared" si="19"/>
        <v>2.7300399999999998</v>
      </c>
      <c r="G97" s="670">
        <v>5.8000000000000003E-2</v>
      </c>
      <c r="H97" s="259">
        <f t="shared" si="20"/>
        <v>2.1481481481481484</v>
      </c>
      <c r="I97" s="273">
        <v>1920</v>
      </c>
      <c r="J97" s="274">
        <v>1895</v>
      </c>
      <c r="K97" s="262">
        <f t="shared" si="16"/>
        <v>-1.2999999999999999E-2</v>
      </c>
      <c r="L97" s="263">
        <f t="shared" si="21"/>
        <v>1.5</v>
      </c>
      <c r="M97" s="257">
        <f t="shared" si="22"/>
        <v>1.2801724137931034</v>
      </c>
      <c r="N97" s="264">
        <f t="shared" si="17"/>
        <v>7.2418245117845119</v>
      </c>
      <c r="O97" s="468">
        <v>441</v>
      </c>
      <c r="P97" s="265">
        <f t="shared" si="23"/>
        <v>1.7600000000000001E-2</v>
      </c>
      <c r="Q97" s="266">
        <f t="shared" si="24"/>
        <v>9</v>
      </c>
      <c r="R97" s="275">
        <f t="shared" si="25"/>
        <v>0.75</v>
      </c>
      <c r="S97" s="270">
        <f t="shared" si="26"/>
        <v>0.81</v>
      </c>
      <c r="T97" s="269">
        <f t="shared" si="28"/>
        <v>0.81</v>
      </c>
      <c r="U97" s="270">
        <f t="shared" si="27"/>
        <v>0.81</v>
      </c>
      <c r="V97" s="671" t="s">
        <v>342</v>
      </c>
    </row>
    <row r="98" spans="1:22" ht="15.5" x14ac:dyDescent="0.35">
      <c r="A98" s="272"/>
      <c r="B98" s="254" t="s">
        <v>130</v>
      </c>
      <c r="C98" s="255">
        <v>0.157</v>
      </c>
      <c r="D98" s="256">
        <f t="shared" si="18"/>
        <v>1.4272727272727272</v>
      </c>
      <c r="E98" s="173">
        <v>42344</v>
      </c>
      <c r="F98" s="257">
        <f t="shared" si="19"/>
        <v>1.6118222180238051</v>
      </c>
      <c r="G98" s="670">
        <v>3.5999999999999997E-2</v>
      </c>
      <c r="H98" s="259">
        <f t="shared" si="20"/>
        <v>1.3333333333333333</v>
      </c>
      <c r="I98" s="273">
        <v>1472</v>
      </c>
      <c r="J98" s="274">
        <v>1355</v>
      </c>
      <c r="K98" s="262">
        <f t="shared" si="16"/>
        <v>-7.9500000000000001E-2</v>
      </c>
      <c r="L98" s="263">
        <f t="shared" si="21"/>
        <v>2</v>
      </c>
      <c r="M98" s="257">
        <f t="shared" si="22"/>
        <v>2.7133620689655178</v>
      </c>
      <c r="N98" s="264">
        <f t="shared" si="17"/>
        <v>6.3724282786298652</v>
      </c>
      <c r="O98" s="468">
        <v>547</v>
      </c>
      <c r="P98" s="265">
        <f t="shared" si="23"/>
        <v>1.29E-2</v>
      </c>
      <c r="Q98" s="266">
        <f t="shared" si="24"/>
        <v>7.66</v>
      </c>
      <c r="R98" s="275">
        <f t="shared" si="25"/>
        <v>0.5</v>
      </c>
      <c r="S98" s="270">
        <f t="shared" si="26"/>
        <v>0.58679999999999999</v>
      </c>
      <c r="T98" s="269">
        <f t="shared" si="28"/>
        <v>0.58679999999999999</v>
      </c>
      <c r="U98" s="270">
        <f t="shared" si="27"/>
        <v>0.58679999999999999</v>
      </c>
      <c r="V98" s="209" t="s">
        <v>287</v>
      </c>
    </row>
    <row r="99" spans="1:22" ht="13.5" hidden="1" customHeight="1" x14ac:dyDescent="0.35">
      <c r="A99" s="272">
        <v>5</v>
      </c>
      <c r="B99" s="254" t="s">
        <v>131</v>
      </c>
      <c r="C99" s="255">
        <v>0.30199999999999999</v>
      </c>
      <c r="D99" s="256">
        <f t="shared" si="18"/>
        <v>2.7454545454545451</v>
      </c>
      <c r="E99" s="173">
        <v>37813</v>
      </c>
      <c r="F99" s="257">
        <f t="shared" si="19"/>
        <v>1.804961256710655</v>
      </c>
      <c r="G99" s="277">
        <v>9.1999999999999998E-2</v>
      </c>
      <c r="H99" s="278">
        <f t="shared" si="20"/>
        <v>3.4074074074074074</v>
      </c>
      <c r="I99" s="273">
        <v>679</v>
      </c>
      <c r="J99" s="274">
        <v>590</v>
      </c>
      <c r="K99" s="262">
        <f t="shared" si="16"/>
        <v>-0.13109999999999999</v>
      </c>
      <c r="L99" s="263">
        <f t="shared" si="21"/>
        <v>2.5</v>
      </c>
      <c r="M99" s="257">
        <f t="shared" si="22"/>
        <v>3.8254310344827589</v>
      </c>
      <c r="N99" s="264">
        <f t="shared" si="17"/>
        <v>10.457823209572608</v>
      </c>
      <c r="O99" s="177">
        <v>396</v>
      </c>
      <c r="P99" s="265">
        <f t="shared" si="23"/>
        <v>1.0500000000000001E-2</v>
      </c>
      <c r="Q99" s="266">
        <f t="shared" si="24"/>
        <v>11.51</v>
      </c>
      <c r="R99" s="267">
        <f t="shared" si="25"/>
        <v>1</v>
      </c>
      <c r="S99" s="268">
        <f t="shared" si="26"/>
        <v>1</v>
      </c>
      <c r="T99" s="269">
        <f t="shared" si="28"/>
        <v>1</v>
      </c>
      <c r="U99" s="268">
        <f t="shared" si="27"/>
        <v>1</v>
      </c>
    </row>
    <row r="100" spans="1:22" ht="13.5" customHeight="1" x14ac:dyDescent="0.35">
      <c r="A100" s="272"/>
      <c r="B100" s="254" t="s">
        <v>132</v>
      </c>
      <c r="C100" s="255">
        <v>7.9000000000000001E-2</v>
      </c>
      <c r="D100" s="256">
        <f t="shared" si="18"/>
        <v>0.71818181818181814</v>
      </c>
      <c r="E100" s="173">
        <v>53500</v>
      </c>
      <c r="F100" s="257">
        <f t="shared" si="19"/>
        <v>1.2757196261682242</v>
      </c>
      <c r="G100" s="277">
        <v>5.7000000000000002E-2</v>
      </c>
      <c r="H100" s="278">
        <f t="shared" si="20"/>
        <v>2.1111111111111112</v>
      </c>
      <c r="I100" s="273">
        <v>3011</v>
      </c>
      <c r="J100" s="274">
        <v>3116</v>
      </c>
      <c r="K100" s="262">
        <f t="shared" si="16"/>
        <v>3.49E-2</v>
      </c>
      <c r="L100" s="263">
        <f t="shared" si="21"/>
        <v>1</v>
      </c>
      <c r="M100" s="257">
        <f t="shared" si="22"/>
        <v>0.24784482758620682</v>
      </c>
      <c r="N100" s="264">
        <f t="shared" si="17"/>
        <v>5.105012555461153</v>
      </c>
      <c r="O100" s="468">
        <v>764</v>
      </c>
      <c r="P100" s="265">
        <f t="shared" si="23"/>
        <v>1.43E-2</v>
      </c>
      <c r="Q100" s="266">
        <f t="shared" si="24"/>
        <v>6.54</v>
      </c>
      <c r="R100" s="275">
        <f t="shared" si="25"/>
        <v>0.25</v>
      </c>
      <c r="S100" s="270">
        <f t="shared" si="26"/>
        <v>0.42770000000000002</v>
      </c>
      <c r="T100" s="269" t="str">
        <f t="shared" si="28"/>
        <v xml:space="preserve"> </v>
      </c>
      <c r="U100" s="270">
        <f t="shared" si="27"/>
        <v>0</v>
      </c>
      <c r="V100" s="209" t="s">
        <v>288</v>
      </c>
    </row>
    <row r="101" spans="1:22" ht="13.5" hidden="1" customHeight="1" x14ac:dyDescent="0.35">
      <c r="A101" s="272"/>
      <c r="B101" s="254" t="s">
        <v>133</v>
      </c>
      <c r="C101" s="255">
        <v>0.112</v>
      </c>
      <c r="D101" s="256">
        <f t="shared" si="18"/>
        <v>1.0181818181818183</v>
      </c>
      <c r="E101" s="173">
        <v>31000</v>
      </c>
      <c r="F101" s="257">
        <f t="shared" si="19"/>
        <v>2.2016451612903225</v>
      </c>
      <c r="G101" s="258">
        <v>0.01</v>
      </c>
      <c r="H101" s="259">
        <f t="shared" si="20"/>
        <v>0.37037037037037041</v>
      </c>
      <c r="I101" s="273">
        <v>2671</v>
      </c>
      <c r="J101" s="274">
        <v>2771</v>
      </c>
      <c r="K101" s="262">
        <f t="shared" si="16"/>
        <v>3.7400000000000003E-2</v>
      </c>
      <c r="L101" s="263">
        <f t="shared" si="21"/>
        <v>1</v>
      </c>
      <c r="M101" s="257">
        <f t="shared" si="22"/>
        <v>0.1939655172413792</v>
      </c>
      <c r="N101" s="264">
        <f t="shared" si="17"/>
        <v>4.5901973498425113</v>
      </c>
      <c r="O101" s="174">
        <v>225</v>
      </c>
      <c r="P101" s="265">
        <f t="shared" si="23"/>
        <v>7.3000000000000001E-3</v>
      </c>
      <c r="Q101" s="266">
        <f t="shared" si="24"/>
        <v>5.32</v>
      </c>
      <c r="R101" s="267">
        <f t="shared" si="25"/>
        <v>0</v>
      </c>
      <c r="S101" s="268">
        <f t="shared" si="26"/>
        <v>0</v>
      </c>
      <c r="T101" s="269" t="str">
        <f t="shared" si="28"/>
        <v xml:space="preserve"> </v>
      </c>
      <c r="U101" s="268">
        <f t="shared" si="27"/>
        <v>0</v>
      </c>
      <c r="V101" s="209" t="s">
        <v>289</v>
      </c>
    </row>
    <row r="102" spans="1:22" ht="13.5" customHeight="1" x14ac:dyDescent="0.35">
      <c r="A102" s="272"/>
      <c r="B102" s="254" t="s">
        <v>134</v>
      </c>
      <c r="C102" s="255">
        <v>0.19900000000000001</v>
      </c>
      <c r="D102" s="256">
        <f t="shared" si="18"/>
        <v>1.8090909090909091</v>
      </c>
      <c r="E102" s="173">
        <v>58594</v>
      </c>
      <c r="F102" s="257">
        <f t="shared" si="19"/>
        <v>1.1648120968017204</v>
      </c>
      <c r="G102" s="670">
        <v>5.0999999999999997E-2</v>
      </c>
      <c r="H102" s="259">
        <f t="shared" si="20"/>
        <v>1.8888888888888888</v>
      </c>
      <c r="I102" s="273">
        <v>1347</v>
      </c>
      <c r="J102" s="274">
        <v>1394</v>
      </c>
      <c r="K102" s="262">
        <f t="shared" si="16"/>
        <v>3.49E-2</v>
      </c>
      <c r="L102" s="263">
        <f t="shared" si="21"/>
        <v>1</v>
      </c>
      <c r="M102" s="257">
        <f t="shared" si="22"/>
        <v>0.24784482758620682</v>
      </c>
      <c r="N102" s="264">
        <f t="shared" si="17"/>
        <v>5.8627918947815179</v>
      </c>
      <c r="O102" s="468">
        <v>340</v>
      </c>
      <c r="P102" s="265">
        <f t="shared" si="23"/>
        <v>5.7999999999999996E-3</v>
      </c>
      <c r="Q102" s="266">
        <f t="shared" si="24"/>
        <v>6.44</v>
      </c>
      <c r="R102" s="267">
        <f t="shared" si="25"/>
        <v>0.25</v>
      </c>
      <c r="S102" s="268">
        <f t="shared" si="26"/>
        <v>0.41470000000000001</v>
      </c>
      <c r="T102" s="269" t="str">
        <f t="shared" si="28"/>
        <v xml:space="preserve"> </v>
      </c>
      <c r="U102" s="270">
        <f t="shared" si="27"/>
        <v>0</v>
      </c>
    </row>
    <row r="103" spans="1:22" ht="13.5" hidden="1" customHeight="1" x14ac:dyDescent="0.35">
      <c r="A103" s="272"/>
      <c r="B103" s="254" t="s">
        <v>135</v>
      </c>
      <c r="C103" s="255">
        <v>0.08</v>
      </c>
      <c r="D103" s="256">
        <f t="shared" si="18"/>
        <v>0.72727272727272729</v>
      </c>
      <c r="E103" s="173">
        <v>56303</v>
      </c>
      <c r="F103" s="257">
        <f t="shared" si="19"/>
        <v>1.2122089409090102</v>
      </c>
      <c r="G103" s="258">
        <v>2.5000000000000001E-2</v>
      </c>
      <c r="H103" s="259">
        <f t="shared" si="20"/>
        <v>0.92592592592592604</v>
      </c>
      <c r="I103" s="273">
        <v>3068</v>
      </c>
      <c r="J103" s="274">
        <v>3058</v>
      </c>
      <c r="K103" s="262">
        <f t="shared" si="16"/>
        <v>-3.3E-3</v>
      </c>
      <c r="L103" s="263">
        <f t="shared" si="21"/>
        <v>1</v>
      </c>
      <c r="M103" s="257">
        <f t="shared" si="22"/>
        <v>1.0711206896551724</v>
      </c>
      <c r="N103" s="264">
        <f t="shared" si="17"/>
        <v>3.8654075941076638</v>
      </c>
      <c r="O103" s="177">
        <v>600</v>
      </c>
      <c r="P103" s="265">
        <f t="shared" si="23"/>
        <v>1.0699999999999999E-2</v>
      </c>
      <c r="Q103" s="266">
        <f>ROUND(N103+(P103*100),2)</f>
        <v>4.9400000000000004</v>
      </c>
      <c r="R103" s="275">
        <f t="shared" si="25"/>
        <v>0</v>
      </c>
      <c r="S103" s="270">
        <f t="shared" si="26"/>
        <v>0</v>
      </c>
      <c r="T103" s="269" t="str">
        <f t="shared" si="28"/>
        <v xml:space="preserve"> </v>
      </c>
      <c r="U103" s="270">
        <f t="shared" si="27"/>
        <v>0</v>
      </c>
      <c r="V103" s="209" t="s">
        <v>290</v>
      </c>
    </row>
    <row r="104" spans="1:22" ht="13.5" customHeight="1" x14ac:dyDescent="0.35">
      <c r="A104" s="272"/>
      <c r="B104" s="254" t="s">
        <v>136</v>
      </c>
      <c r="C104" s="255">
        <v>0.159</v>
      </c>
      <c r="D104" s="256">
        <f t="shared" si="18"/>
        <v>1.4454545454545455</v>
      </c>
      <c r="E104" s="173">
        <v>32730</v>
      </c>
      <c r="F104" s="257">
        <f t="shared" si="19"/>
        <v>2.0852734494347693</v>
      </c>
      <c r="G104" s="670">
        <v>3.9E-2</v>
      </c>
      <c r="H104" s="259">
        <f t="shared" si="20"/>
        <v>1.4444444444444444</v>
      </c>
      <c r="I104" s="273">
        <v>4441</v>
      </c>
      <c r="J104" s="274">
        <v>4113</v>
      </c>
      <c r="K104" s="262">
        <f t="shared" si="16"/>
        <v>-7.3899999999999993E-2</v>
      </c>
      <c r="L104" s="263">
        <f t="shared" si="21"/>
        <v>2</v>
      </c>
      <c r="M104" s="257">
        <f t="shared" si="22"/>
        <v>2.5926724137931032</v>
      </c>
      <c r="N104" s="264">
        <f t="shared" si="17"/>
        <v>6.9751724393337593</v>
      </c>
      <c r="O104" s="468">
        <v>532</v>
      </c>
      <c r="P104" s="265">
        <f t="shared" si="23"/>
        <v>1.6299999999999999E-2</v>
      </c>
      <c r="Q104" s="266">
        <f t="shared" si="24"/>
        <v>8.61</v>
      </c>
      <c r="R104" s="267">
        <f t="shared" si="25"/>
        <v>0.5</v>
      </c>
      <c r="S104" s="268">
        <f t="shared" si="26"/>
        <v>0.74129999999999996</v>
      </c>
      <c r="T104" s="269">
        <f t="shared" si="28"/>
        <v>0.74129999999999996</v>
      </c>
      <c r="U104" s="270">
        <f t="shared" si="27"/>
        <v>0.74129999999999996</v>
      </c>
      <c r="V104" s="209" t="s">
        <v>1104</v>
      </c>
    </row>
    <row r="105" spans="1:22" ht="13.5" customHeight="1" x14ac:dyDescent="0.35">
      <c r="A105" s="272"/>
      <c r="B105" s="254" t="s">
        <v>137</v>
      </c>
      <c r="C105" s="255">
        <v>0.16400000000000001</v>
      </c>
      <c r="D105" s="256">
        <f t="shared" si="18"/>
        <v>1.490909090909091</v>
      </c>
      <c r="E105" s="173">
        <v>47800</v>
      </c>
      <c r="F105" s="257">
        <f t="shared" si="19"/>
        <v>1.4278451882845189</v>
      </c>
      <c r="G105" s="670">
        <v>8.9999999999999993E-3</v>
      </c>
      <c r="H105" s="259">
        <f t="shared" si="20"/>
        <v>0.33333333333333331</v>
      </c>
      <c r="I105" s="273">
        <v>2317</v>
      </c>
      <c r="J105" s="274">
        <v>2352</v>
      </c>
      <c r="K105" s="262">
        <f t="shared" si="16"/>
        <v>1.5100000000000001E-2</v>
      </c>
      <c r="L105" s="263">
        <f t="shared" si="21"/>
        <v>1</v>
      </c>
      <c r="M105" s="257">
        <f t="shared" si="22"/>
        <v>0.67456896551724133</v>
      </c>
      <c r="N105" s="264">
        <f t="shared" si="17"/>
        <v>4.2520876125269433</v>
      </c>
      <c r="O105" s="468">
        <v>803</v>
      </c>
      <c r="P105" s="265">
        <f t="shared" si="23"/>
        <v>1.6799999999999999E-2</v>
      </c>
      <c r="Q105" s="266">
        <f t="shared" si="24"/>
        <v>5.93</v>
      </c>
      <c r="R105" s="267">
        <f t="shared" si="25"/>
        <v>0</v>
      </c>
      <c r="S105" s="268">
        <f t="shared" si="26"/>
        <v>0</v>
      </c>
      <c r="T105" s="269" t="str">
        <f t="shared" si="28"/>
        <v xml:space="preserve"> </v>
      </c>
      <c r="U105" s="268">
        <f t="shared" si="27"/>
        <v>0</v>
      </c>
      <c r="V105" s="209" t="s">
        <v>291</v>
      </c>
    </row>
    <row r="106" spans="1:22" ht="13.5" hidden="1" customHeight="1" x14ac:dyDescent="0.35">
      <c r="A106" s="272"/>
      <c r="B106" s="254" t="s">
        <v>226</v>
      </c>
      <c r="C106" s="255">
        <v>0.10400000000000001</v>
      </c>
      <c r="D106" s="256">
        <f t="shared" si="18"/>
        <v>0.94545454545454555</v>
      </c>
      <c r="E106" s="173">
        <v>59519</v>
      </c>
      <c r="F106" s="257">
        <f t="shared" si="19"/>
        <v>1.1467094541238931</v>
      </c>
      <c r="G106" s="210">
        <v>4.8000000000000001E-2</v>
      </c>
      <c r="H106" s="211">
        <f t="shared" si="20"/>
        <v>1.7777777777777779</v>
      </c>
      <c r="I106" s="273">
        <v>4104</v>
      </c>
      <c r="J106" s="274">
        <v>4066</v>
      </c>
      <c r="K106" s="262">
        <f t="shared" si="16"/>
        <v>-9.2999999999999992E-3</v>
      </c>
      <c r="L106" s="263">
        <f t="shared" si="21"/>
        <v>1.5</v>
      </c>
      <c r="M106" s="257">
        <f t="shared" si="22"/>
        <v>1.2004310344827587</v>
      </c>
      <c r="N106" s="264">
        <f t="shared" si="17"/>
        <v>5.3699417773562166</v>
      </c>
      <c r="O106" s="184">
        <v>777</v>
      </c>
      <c r="P106" s="265">
        <f t="shared" si="23"/>
        <v>1.3100000000000001E-2</v>
      </c>
      <c r="Q106" s="266">
        <f t="shared" si="24"/>
        <v>6.68</v>
      </c>
      <c r="R106" s="267">
        <f t="shared" si="25"/>
        <v>0.25</v>
      </c>
      <c r="S106" s="268">
        <f t="shared" si="26"/>
        <v>0.44619999999999999</v>
      </c>
      <c r="T106" s="269" t="str">
        <f t="shared" si="28"/>
        <v xml:space="preserve"> </v>
      </c>
      <c r="U106" s="268">
        <f t="shared" si="27"/>
        <v>0</v>
      </c>
    </row>
    <row r="107" spans="1:22" ht="13.5" hidden="1" customHeight="1" x14ac:dyDescent="0.35">
      <c r="A107" s="272"/>
      <c r="B107" s="254" t="s">
        <v>138</v>
      </c>
      <c r="C107" s="255">
        <v>0.222</v>
      </c>
      <c r="D107" s="256">
        <f t="shared" si="18"/>
        <v>2.0181818181818181</v>
      </c>
      <c r="E107" s="173">
        <v>39013</v>
      </c>
      <c r="F107" s="257">
        <f t="shared" si="19"/>
        <v>1.7494424935277983</v>
      </c>
      <c r="G107" s="277">
        <v>0</v>
      </c>
      <c r="H107" s="278">
        <f t="shared" si="20"/>
        <v>0</v>
      </c>
      <c r="I107" s="273">
        <v>655</v>
      </c>
      <c r="J107" s="274">
        <v>681</v>
      </c>
      <c r="K107" s="262">
        <f t="shared" si="16"/>
        <v>3.9699999999999999E-2</v>
      </c>
      <c r="L107" s="263">
        <f t="shared" si="21"/>
        <v>1</v>
      </c>
      <c r="M107" s="257">
        <f t="shared" si="22"/>
        <v>0.1443965517241379</v>
      </c>
      <c r="N107" s="264">
        <f t="shared" si="17"/>
        <v>4.767624311709616</v>
      </c>
      <c r="O107" s="174">
        <v>316.56</v>
      </c>
      <c r="P107" s="265">
        <f t="shared" si="23"/>
        <v>8.0999999999999996E-3</v>
      </c>
      <c r="Q107" s="266">
        <f t="shared" si="24"/>
        <v>5.58</v>
      </c>
      <c r="R107" s="267">
        <f t="shared" si="25"/>
        <v>0</v>
      </c>
      <c r="S107" s="268">
        <f t="shared" si="26"/>
        <v>0</v>
      </c>
      <c r="T107" s="269" t="str">
        <f t="shared" si="28"/>
        <v xml:space="preserve"> </v>
      </c>
      <c r="U107" s="270">
        <f t="shared" si="27"/>
        <v>0</v>
      </c>
    </row>
    <row r="108" spans="1:22" ht="13.5" hidden="1" customHeight="1" x14ac:dyDescent="0.35">
      <c r="A108" s="272"/>
      <c r="B108" s="254" t="s">
        <v>139</v>
      </c>
      <c r="C108" s="255">
        <v>2.6000000000000002E-2</v>
      </c>
      <c r="D108" s="256">
        <f t="shared" si="18"/>
        <v>0.23636363636363639</v>
      </c>
      <c r="E108" s="173">
        <v>76920</v>
      </c>
      <c r="F108" s="257">
        <f t="shared" si="19"/>
        <v>0.88729849193967758</v>
      </c>
      <c r="G108" s="258">
        <v>2.5999999999999999E-2</v>
      </c>
      <c r="H108" s="259">
        <f t="shared" si="20"/>
        <v>0.96296296296296291</v>
      </c>
      <c r="I108" s="273">
        <v>2113</v>
      </c>
      <c r="J108" s="274">
        <v>2068</v>
      </c>
      <c r="K108" s="262">
        <f t="shared" si="16"/>
        <v>-2.1299999999999999E-2</v>
      </c>
      <c r="L108" s="263">
        <f t="shared" si="21"/>
        <v>1.5</v>
      </c>
      <c r="M108" s="257">
        <f t="shared" si="22"/>
        <v>1.459051724137931</v>
      </c>
      <c r="N108" s="264">
        <f t="shared" si="17"/>
        <v>3.5866250912662769</v>
      </c>
      <c r="O108" s="185" t="s">
        <v>140</v>
      </c>
      <c r="P108" s="265"/>
      <c r="Q108" s="266">
        <f t="shared" si="24"/>
        <v>3.59</v>
      </c>
      <c r="R108" s="275">
        <f t="shared" si="25"/>
        <v>0</v>
      </c>
      <c r="S108" s="270">
        <f t="shared" si="26"/>
        <v>0</v>
      </c>
      <c r="T108" s="269" t="str">
        <f t="shared" si="28"/>
        <v xml:space="preserve"> </v>
      </c>
      <c r="U108" s="270">
        <f t="shared" si="27"/>
        <v>0</v>
      </c>
    </row>
    <row r="109" spans="1:22" ht="13.5" hidden="1" customHeight="1" x14ac:dyDescent="0.35">
      <c r="A109" s="272"/>
      <c r="B109" s="254" t="s">
        <v>141</v>
      </c>
      <c r="C109" s="255">
        <v>0.25900000000000001</v>
      </c>
      <c r="D109" s="256">
        <f t="shared" si="18"/>
        <v>2.3545454545454545</v>
      </c>
      <c r="E109" s="173">
        <v>30257</v>
      </c>
      <c r="F109" s="257">
        <f t="shared" si="19"/>
        <v>2.255709422612949</v>
      </c>
      <c r="G109" s="258">
        <v>2.8000000000000001E-2</v>
      </c>
      <c r="H109" s="259">
        <f t="shared" si="20"/>
        <v>1.037037037037037</v>
      </c>
      <c r="I109" s="273">
        <v>3273</v>
      </c>
      <c r="J109" s="274">
        <v>3266</v>
      </c>
      <c r="K109" s="262">
        <f t="shared" si="16"/>
        <v>-2.0999999999999999E-3</v>
      </c>
      <c r="L109" s="263">
        <f t="shared" si="21"/>
        <v>1</v>
      </c>
      <c r="M109" s="257">
        <f t="shared" si="22"/>
        <v>1.045258620689655</v>
      </c>
      <c r="N109" s="264">
        <f t="shared" si="17"/>
        <v>6.6472919141954412</v>
      </c>
      <c r="O109" s="174">
        <v>519.72</v>
      </c>
      <c r="P109" s="265">
        <f t="shared" ref="P109:P122" si="29">ROUND(O109/E109,4)</f>
        <v>1.72E-2</v>
      </c>
      <c r="Q109" s="266">
        <f t="shared" si="24"/>
        <v>8.3699999999999992</v>
      </c>
      <c r="R109" s="267">
        <f t="shared" si="25"/>
        <v>0.5</v>
      </c>
      <c r="S109" s="268">
        <f t="shared" si="26"/>
        <v>0.7006</v>
      </c>
      <c r="T109" s="269">
        <f t="shared" si="28"/>
        <v>0.7006</v>
      </c>
      <c r="U109" s="268">
        <f t="shared" si="27"/>
        <v>0.7006</v>
      </c>
      <c r="V109" s="209" t="s">
        <v>292</v>
      </c>
    </row>
    <row r="110" spans="1:22" ht="13.5" hidden="1" customHeight="1" x14ac:dyDescent="0.35">
      <c r="A110" s="272"/>
      <c r="B110" s="254" t="s">
        <v>142</v>
      </c>
      <c r="C110" s="255">
        <v>0.17799999999999999</v>
      </c>
      <c r="D110" s="256">
        <f t="shared" si="18"/>
        <v>1.6181818181818182</v>
      </c>
      <c r="E110" s="173">
        <v>45948</v>
      </c>
      <c r="F110" s="257">
        <f t="shared" si="19"/>
        <v>1.4853965352137199</v>
      </c>
      <c r="G110" s="258">
        <v>1.7999999999999999E-2</v>
      </c>
      <c r="H110" s="259">
        <f t="shared" si="20"/>
        <v>0.66666666666666663</v>
      </c>
      <c r="I110" s="273">
        <v>3222</v>
      </c>
      <c r="J110" s="274">
        <v>3361</v>
      </c>
      <c r="K110" s="262">
        <f t="shared" si="16"/>
        <v>4.3099999999999999E-2</v>
      </c>
      <c r="L110" s="263">
        <f t="shared" si="21"/>
        <v>1</v>
      </c>
      <c r="M110" s="257">
        <f t="shared" si="22"/>
        <v>7.1120689655172362E-2</v>
      </c>
      <c r="N110" s="264">
        <f t="shared" si="17"/>
        <v>4.7702450200622053</v>
      </c>
      <c r="O110" s="174">
        <v>580</v>
      </c>
      <c r="P110" s="265">
        <f t="shared" si="29"/>
        <v>1.26E-2</v>
      </c>
      <c r="Q110" s="266">
        <f t="shared" si="24"/>
        <v>6.03</v>
      </c>
      <c r="R110" s="275">
        <f t="shared" si="25"/>
        <v>0</v>
      </c>
      <c r="S110" s="270">
        <f t="shared" si="26"/>
        <v>0</v>
      </c>
      <c r="T110" s="269" t="str">
        <f t="shared" si="28"/>
        <v xml:space="preserve"> </v>
      </c>
      <c r="U110" s="270">
        <f t="shared" si="27"/>
        <v>0</v>
      </c>
      <c r="V110" s="209" t="s">
        <v>293</v>
      </c>
    </row>
    <row r="111" spans="1:22" ht="13.5" customHeight="1" x14ac:dyDescent="0.35">
      <c r="A111" s="272"/>
      <c r="B111" s="254" t="s">
        <v>143</v>
      </c>
      <c r="C111" s="255">
        <v>3.1E-2</v>
      </c>
      <c r="D111" s="256">
        <f t="shared" si="18"/>
        <v>0.2818181818181818</v>
      </c>
      <c r="E111" s="173">
        <v>50625</v>
      </c>
      <c r="F111" s="257">
        <f t="shared" si="19"/>
        <v>1.348167901234568</v>
      </c>
      <c r="G111" s="670">
        <v>5.0000000000000001E-3</v>
      </c>
      <c r="H111" s="259">
        <f t="shared" si="20"/>
        <v>0.1851851851851852</v>
      </c>
      <c r="I111" s="273">
        <v>4609</v>
      </c>
      <c r="J111" s="274">
        <v>5148</v>
      </c>
      <c r="K111" s="262">
        <f t="shared" si="16"/>
        <v>0.1169</v>
      </c>
      <c r="L111" s="263">
        <f t="shared" si="21"/>
        <v>0</v>
      </c>
      <c r="M111" s="257">
        <f t="shared" si="22"/>
        <v>-1.5193965517241381</v>
      </c>
      <c r="N111" s="264">
        <f t="shared" si="17"/>
        <v>1.8151712682379348</v>
      </c>
      <c r="O111" s="468">
        <v>434</v>
      </c>
      <c r="P111" s="265">
        <f t="shared" si="29"/>
        <v>8.6E-3</v>
      </c>
      <c r="Q111" s="266">
        <f t="shared" si="24"/>
        <v>2.68</v>
      </c>
      <c r="R111" s="275">
        <f t="shared" si="25"/>
        <v>0</v>
      </c>
      <c r="S111" s="270">
        <f t="shared" si="26"/>
        <v>0</v>
      </c>
      <c r="T111" s="269" t="str">
        <f t="shared" si="28"/>
        <v xml:space="preserve"> </v>
      </c>
      <c r="U111" s="270">
        <f t="shared" si="27"/>
        <v>0</v>
      </c>
      <c r="V111" s="209" t="s">
        <v>294</v>
      </c>
    </row>
    <row r="112" spans="1:22" ht="15.5" hidden="1" x14ac:dyDescent="0.35">
      <c r="A112" s="272"/>
      <c r="B112" s="254" t="s">
        <v>144</v>
      </c>
      <c r="C112" s="255">
        <v>3.3000000000000002E-2</v>
      </c>
      <c r="D112" s="256">
        <f t="shared" si="18"/>
        <v>0.3</v>
      </c>
      <c r="E112" s="173">
        <v>68194</v>
      </c>
      <c r="F112" s="257">
        <f t="shared" si="19"/>
        <v>1.0008358506613486</v>
      </c>
      <c r="G112" s="277">
        <v>3.1E-2</v>
      </c>
      <c r="H112" s="278">
        <f t="shared" si="20"/>
        <v>1.1481481481481481</v>
      </c>
      <c r="I112" s="273">
        <v>355</v>
      </c>
      <c r="J112" s="274">
        <v>358</v>
      </c>
      <c r="K112" s="262">
        <f t="shared" si="16"/>
        <v>8.5000000000000006E-3</v>
      </c>
      <c r="L112" s="263">
        <f t="shared" si="21"/>
        <v>1</v>
      </c>
      <c r="M112" s="257">
        <f t="shared" si="22"/>
        <v>0.81681034482758619</v>
      </c>
      <c r="N112" s="264">
        <f t="shared" si="17"/>
        <v>3.4489839988094966</v>
      </c>
      <c r="O112" s="174">
        <v>1258</v>
      </c>
      <c r="P112" s="265">
        <f t="shared" si="29"/>
        <v>1.84E-2</v>
      </c>
      <c r="Q112" s="266">
        <f t="shared" si="24"/>
        <v>5.29</v>
      </c>
      <c r="R112" s="275">
        <f t="shared" si="25"/>
        <v>0</v>
      </c>
      <c r="S112" s="270">
        <f t="shared" si="26"/>
        <v>0</v>
      </c>
      <c r="T112" s="269" t="str">
        <f t="shared" si="28"/>
        <v xml:space="preserve"> </v>
      </c>
      <c r="U112" s="270">
        <f t="shared" si="27"/>
        <v>0</v>
      </c>
    </row>
    <row r="113" spans="1:22" ht="15.5" hidden="1" x14ac:dyDescent="0.35">
      <c r="A113" s="272"/>
      <c r="B113" s="254" t="s">
        <v>145</v>
      </c>
      <c r="C113" s="255">
        <v>6.8000000000000005E-2</v>
      </c>
      <c r="D113" s="256">
        <f t="shared" si="18"/>
        <v>0.61818181818181828</v>
      </c>
      <c r="E113" s="173">
        <v>66842</v>
      </c>
      <c r="F113" s="257">
        <f t="shared" si="19"/>
        <v>1.0210795607552139</v>
      </c>
      <c r="G113" s="258">
        <v>1.2E-2</v>
      </c>
      <c r="H113" s="259">
        <f t="shared" si="20"/>
        <v>0.44444444444444448</v>
      </c>
      <c r="I113" s="273">
        <v>1521</v>
      </c>
      <c r="J113" s="274">
        <v>1582</v>
      </c>
      <c r="K113" s="262">
        <f t="shared" si="16"/>
        <v>4.0099999999999997E-2</v>
      </c>
      <c r="L113" s="263">
        <f t="shared" si="21"/>
        <v>1</v>
      </c>
      <c r="M113" s="257">
        <f t="shared" si="22"/>
        <v>0.13577586206896552</v>
      </c>
      <c r="N113" s="264">
        <f t="shared" si="17"/>
        <v>3.0837058233814769</v>
      </c>
      <c r="O113" s="177">
        <v>1687</v>
      </c>
      <c r="P113" s="265">
        <f t="shared" si="29"/>
        <v>2.52E-2</v>
      </c>
      <c r="Q113" s="266">
        <f t="shared" si="24"/>
        <v>5.6</v>
      </c>
      <c r="R113" s="275">
        <f t="shared" si="25"/>
        <v>0</v>
      </c>
      <c r="S113" s="270">
        <f t="shared" si="26"/>
        <v>0</v>
      </c>
      <c r="T113" s="269" t="str">
        <f t="shared" si="28"/>
        <v xml:space="preserve"> </v>
      </c>
      <c r="U113" s="270">
        <f t="shared" si="27"/>
        <v>0</v>
      </c>
    </row>
    <row r="114" spans="1:22" ht="15.5" x14ac:dyDescent="0.35">
      <c r="A114" s="272"/>
      <c r="B114" s="254" t="s">
        <v>384</v>
      </c>
      <c r="C114" s="255">
        <v>5.0999999999999997E-2</v>
      </c>
      <c r="D114" s="256">
        <f t="shared" si="18"/>
        <v>0.46363636363636362</v>
      </c>
      <c r="E114" s="173">
        <v>78284</v>
      </c>
      <c r="F114" s="257">
        <f t="shared" si="19"/>
        <v>0.87183843441827191</v>
      </c>
      <c r="G114" s="670">
        <v>8.9999999999999993E-3</v>
      </c>
      <c r="H114" s="259">
        <f t="shared" si="20"/>
        <v>0.33333333333333331</v>
      </c>
      <c r="I114" s="273">
        <v>4609</v>
      </c>
      <c r="J114" s="274">
        <v>5395</v>
      </c>
      <c r="K114" s="262">
        <f t="shared" si="16"/>
        <v>0.17050000000000001</v>
      </c>
      <c r="L114" s="263">
        <f t="shared" si="21"/>
        <v>0</v>
      </c>
      <c r="M114" s="257">
        <f t="shared" si="22"/>
        <v>-2.674568965517242</v>
      </c>
      <c r="N114" s="264">
        <f t="shared" si="17"/>
        <v>1.6688081313879688</v>
      </c>
      <c r="O114" s="673">
        <v>7250</v>
      </c>
      <c r="P114" s="265">
        <f t="shared" si="29"/>
        <v>9.2600000000000002E-2</v>
      </c>
      <c r="Q114" s="266">
        <f t="shared" si="24"/>
        <v>10.93</v>
      </c>
      <c r="R114" s="275">
        <f t="shared" si="25"/>
        <v>1</v>
      </c>
      <c r="S114" s="270">
        <f t="shared" si="26"/>
        <v>1</v>
      </c>
      <c r="T114" s="269">
        <f t="shared" si="28"/>
        <v>1</v>
      </c>
      <c r="U114" s="270">
        <f t="shared" si="27"/>
        <v>1</v>
      </c>
      <c r="V114" s="671" t="s">
        <v>1105</v>
      </c>
    </row>
    <row r="115" spans="1:22" ht="15.5" hidden="1" x14ac:dyDescent="0.35">
      <c r="A115" s="272"/>
      <c r="B115" s="254" t="s">
        <v>146</v>
      </c>
      <c r="C115" s="255">
        <v>0.32800000000000001</v>
      </c>
      <c r="D115" s="256">
        <f t="shared" si="18"/>
        <v>2.9818181818181819</v>
      </c>
      <c r="E115" s="173">
        <v>35581</v>
      </c>
      <c r="F115" s="257">
        <f t="shared" si="19"/>
        <v>1.918186672662376</v>
      </c>
      <c r="G115" s="258">
        <v>3.1E-2</v>
      </c>
      <c r="H115" s="259">
        <f t="shared" si="20"/>
        <v>1.1481481481481481</v>
      </c>
      <c r="I115" s="273">
        <v>5013</v>
      </c>
      <c r="J115" s="274">
        <v>5144</v>
      </c>
      <c r="K115" s="262">
        <f t="shared" si="16"/>
        <v>2.6100000000000002E-2</v>
      </c>
      <c r="L115" s="263">
        <f t="shared" si="21"/>
        <v>1</v>
      </c>
      <c r="M115" s="257">
        <f t="shared" si="22"/>
        <v>0.43749999999999994</v>
      </c>
      <c r="N115" s="264">
        <f t="shared" si="17"/>
        <v>7.0481530026287063</v>
      </c>
      <c r="O115" s="177">
        <v>682</v>
      </c>
      <c r="P115" s="265">
        <f t="shared" si="29"/>
        <v>1.9199999999999998E-2</v>
      </c>
      <c r="Q115" s="266">
        <f t="shared" si="24"/>
        <v>8.9700000000000006</v>
      </c>
      <c r="R115" s="267">
        <f t="shared" si="25"/>
        <v>0.75</v>
      </c>
      <c r="S115" s="268">
        <f t="shared" si="26"/>
        <v>0.80459999999999998</v>
      </c>
      <c r="T115" s="269">
        <f t="shared" si="28"/>
        <v>0.80459999999999998</v>
      </c>
      <c r="U115" s="270">
        <f t="shared" si="27"/>
        <v>0.80459999999999998</v>
      </c>
      <c r="V115" s="209" t="s">
        <v>295</v>
      </c>
    </row>
    <row r="116" spans="1:22" ht="15.5" x14ac:dyDescent="0.35">
      <c r="A116" s="272"/>
      <c r="B116" s="254" t="s">
        <v>147</v>
      </c>
      <c r="C116" s="255">
        <v>0.22</v>
      </c>
      <c r="D116" s="256">
        <f t="shared" si="18"/>
        <v>2</v>
      </c>
      <c r="E116" s="173">
        <v>52539</v>
      </c>
      <c r="F116" s="257">
        <f t="shared" si="19"/>
        <v>1.2990540360494109</v>
      </c>
      <c r="G116" s="670">
        <v>4.0000000000000001E-3</v>
      </c>
      <c r="H116" s="259">
        <f t="shared" si="20"/>
        <v>0.14814814814814814</v>
      </c>
      <c r="I116" s="273">
        <v>6245</v>
      </c>
      <c r="J116" s="274">
        <v>6322</v>
      </c>
      <c r="K116" s="262">
        <f t="shared" si="16"/>
        <v>1.23E-2</v>
      </c>
      <c r="L116" s="263">
        <f t="shared" si="21"/>
        <v>1</v>
      </c>
      <c r="M116" s="257">
        <f t="shared" si="22"/>
        <v>0.73491379310344829</v>
      </c>
      <c r="N116" s="264">
        <f t="shared" si="17"/>
        <v>4.4472021841975593</v>
      </c>
      <c r="O116" s="174">
        <v>463</v>
      </c>
      <c r="P116" s="265">
        <f t="shared" si="29"/>
        <v>8.8000000000000005E-3</v>
      </c>
      <c r="Q116" s="266">
        <f t="shared" si="24"/>
        <v>5.33</v>
      </c>
      <c r="R116" s="275">
        <f t="shared" si="25"/>
        <v>0</v>
      </c>
      <c r="S116" s="270">
        <f t="shared" si="26"/>
        <v>0</v>
      </c>
      <c r="T116" s="269" t="str">
        <f t="shared" si="28"/>
        <v xml:space="preserve"> </v>
      </c>
      <c r="U116" s="270">
        <f t="shared" si="27"/>
        <v>0</v>
      </c>
      <c r="V116" s="209" t="s">
        <v>296</v>
      </c>
    </row>
    <row r="117" spans="1:22" ht="15.5" x14ac:dyDescent="0.35">
      <c r="A117" s="272"/>
      <c r="B117" s="254" t="s">
        <v>148</v>
      </c>
      <c r="C117" s="255">
        <v>3.1E-2</v>
      </c>
      <c r="D117" s="256">
        <f t="shared" si="18"/>
        <v>0.2818181818181818</v>
      </c>
      <c r="E117" s="173">
        <v>100455</v>
      </c>
      <c r="F117" s="257">
        <f t="shared" si="19"/>
        <v>0.67941864516450157</v>
      </c>
      <c r="G117" s="277">
        <v>2E-3</v>
      </c>
      <c r="H117" s="278">
        <f t="shared" si="20"/>
        <v>7.407407407407407E-2</v>
      </c>
      <c r="I117" s="273">
        <v>909</v>
      </c>
      <c r="J117" s="274">
        <v>1597</v>
      </c>
      <c r="K117" s="262">
        <f t="shared" si="16"/>
        <v>0.75690000000000002</v>
      </c>
      <c r="L117" s="263">
        <f t="shared" si="21"/>
        <v>0</v>
      </c>
      <c r="M117" s="257">
        <f t="shared" si="22"/>
        <v>-15.312500000000002</v>
      </c>
      <c r="N117" s="264">
        <f t="shared" si="17"/>
        <v>1.0353109010567576</v>
      </c>
      <c r="O117" s="468">
        <v>1153</v>
      </c>
      <c r="P117" s="265">
        <f t="shared" si="29"/>
        <v>1.15E-2</v>
      </c>
      <c r="Q117" s="266">
        <f t="shared" si="24"/>
        <v>2.19</v>
      </c>
      <c r="R117" s="267">
        <f t="shared" si="25"/>
        <v>0</v>
      </c>
      <c r="S117" s="268">
        <f t="shared" si="26"/>
        <v>0</v>
      </c>
      <c r="T117" s="269" t="str">
        <f t="shared" si="28"/>
        <v xml:space="preserve"> </v>
      </c>
      <c r="U117" s="270">
        <f t="shared" si="27"/>
        <v>0</v>
      </c>
    </row>
    <row r="118" spans="1:22" ht="15.5" x14ac:dyDescent="0.35">
      <c r="A118" s="279"/>
      <c r="B118" s="254" t="s">
        <v>297</v>
      </c>
      <c r="C118" s="255">
        <v>0.124</v>
      </c>
      <c r="D118" s="256">
        <f t="shared" si="18"/>
        <v>1.1272727272727272</v>
      </c>
      <c r="E118" s="173">
        <v>55766</v>
      </c>
      <c r="F118" s="257">
        <f t="shared" si="19"/>
        <v>1.2238819352293513</v>
      </c>
      <c r="G118" s="670">
        <v>3.4000000000000002E-2</v>
      </c>
      <c r="H118" s="259">
        <f t="shared" si="20"/>
        <v>1.2592592592592593</v>
      </c>
      <c r="I118" s="273">
        <v>8643</v>
      </c>
      <c r="J118" s="274">
        <v>9299</v>
      </c>
      <c r="K118" s="262">
        <f t="shared" si="16"/>
        <v>7.5899999999999995E-2</v>
      </c>
      <c r="L118" s="263">
        <f t="shared" si="21"/>
        <v>0.5</v>
      </c>
      <c r="M118" s="257">
        <f t="shared" si="22"/>
        <v>-0.63577586206896552</v>
      </c>
      <c r="N118" s="264">
        <f t="shared" si="17"/>
        <v>4.1104139217613378</v>
      </c>
      <c r="O118" s="476">
        <v>1153</v>
      </c>
      <c r="P118" s="265">
        <f t="shared" si="29"/>
        <v>2.07E-2</v>
      </c>
      <c r="Q118" s="266">
        <f t="shared" si="24"/>
        <v>6.18</v>
      </c>
      <c r="R118" s="275">
        <f t="shared" si="25"/>
        <v>0</v>
      </c>
      <c r="S118" s="270">
        <f t="shared" si="26"/>
        <v>0</v>
      </c>
      <c r="T118" s="269" t="str">
        <f t="shared" si="28"/>
        <v xml:space="preserve"> </v>
      </c>
      <c r="U118" s="270">
        <f t="shared" si="27"/>
        <v>0</v>
      </c>
      <c r="V118" s="209" t="s">
        <v>298</v>
      </c>
    </row>
    <row r="119" spans="1:22" ht="15.5" hidden="1" x14ac:dyDescent="0.35">
      <c r="A119" s="276"/>
      <c r="B119" s="254" t="s">
        <v>149</v>
      </c>
      <c r="C119" s="255">
        <v>0.22399999999999998</v>
      </c>
      <c r="D119" s="256">
        <f t="shared" si="18"/>
        <v>2.0363636363636362</v>
      </c>
      <c r="E119" s="173">
        <v>42679</v>
      </c>
      <c r="F119" s="257">
        <f t="shared" si="19"/>
        <v>1.5991705522622366</v>
      </c>
      <c r="G119" s="258">
        <v>2.3E-2</v>
      </c>
      <c r="H119" s="259">
        <f t="shared" si="20"/>
        <v>0.85185185185185186</v>
      </c>
      <c r="I119" s="273">
        <v>7431</v>
      </c>
      <c r="J119" s="274">
        <v>7869</v>
      </c>
      <c r="K119" s="262">
        <f t="shared" si="16"/>
        <v>5.8900000000000001E-2</v>
      </c>
      <c r="L119" s="263">
        <f t="shared" si="21"/>
        <v>0.5</v>
      </c>
      <c r="M119" s="257">
        <f t="shared" si="22"/>
        <v>-0.26939655172413807</v>
      </c>
      <c r="N119" s="264">
        <f t="shared" si="17"/>
        <v>4.987386040477725</v>
      </c>
      <c r="O119" s="175">
        <v>816</v>
      </c>
      <c r="P119" s="265">
        <f t="shared" si="29"/>
        <v>1.9099999999999999E-2</v>
      </c>
      <c r="Q119" s="266">
        <f t="shared" si="24"/>
        <v>6.9</v>
      </c>
      <c r="R119" s="267">
        <f t="shared" si="25"/>
        <v>0.25</v>
      </c>
      <c r="S119" s="268">
        <f t="shared" si="26"/>
        <v>0.47610000000000002</v>
      </c>
      <c r="T119" s="269" t="str">
        <f t="shared" si="28"/>
        <v xml:space="preserve"> </v>
      </c>
      <c r="U119" s="270">
        <f t="shared" si="27"/>
        <v>0</v>
      </c>
    </row>
    <row r="120" spans="1:22" ht="15.5" x14ac:dyDescent="0.35">
      <c r="A120" s="272"/>
      <c r="B120" s="254" t="s">
        <v>150</v>
      </c>
      <c r="C120" s="255">
        <v>0.30599999999999999</v>
      </c>
      <c r="D120" s="256">
        <f t="shared" si="18"/>
        <v>2.7818181818181817</v>
      </c>
      <c r="E120" s="173">
        <v>47412</v>
      </c>
      <c r="F120" s="257">
        <f t="shared" si="19"/>
        <v>1.4395300767738126</v>
      </c>
      <c r="G120" s="670">
        <v>3.6999999999999998E-2</v>
      </c>
      <c r="H120" s="259">
        <f t="shared" si="20"/>
        <v>1.3703703703703702</v>
      </c>
      <c r="I120" s="273">
        <v>10559</v>
      </c>
      <c r="J120" s="274">
        <v>11251</v>
      </c>
      <c r="K120" s="262">
        <f t="shared" si="16"/>
        <v>6.5500000000000003E-2</v>
      </c>
      <c r="L120" s="263">
        <f t="shared" si="21"/>
        <v>0.5</v>
      </c>
      <c r="M120" s="257">
        <f t="shared" si="22"/>
        <v>-0.41163793103448293</v>
      </c>
      <c r="N120" s="264">
        <f t="shared" si="17"/>
        <v>6.091718628962365</v>
      </c>
      <c r="O120" s="468">
        <v>695</v>
      </c>
      <c r="P120" s="265">
        <f t="shared" si="29"/>
        <v>1.47E-2</v>
      </c>
      <c r="Q120" s="266">
        <f t="shared" si="24"/>
        <v>7.56</v>
      </c>
      <c r="R120" s="275">
        <f t="shared" si="25"/>
        <v>0.5</v>
      </c>
      <c r="S120" s="270">
        <f t="shared" si="26"/>
        <v>0.57150000000000001</v>
      </c>
      <c r="T120" s="269">
        <f t="shared" si="28"/>
        <v>0.57150000000000001</v>
      </c>
      <c r="U120" s="270">
        <f t="shared" si="27"/>
        <v>0.57150000000000001</v>
      </c>
      <c r="V120" s="209" t="s">
        <v>299</v>
      </c>
    </row>
    <row r="121" spans="1:22" ht="15.5" hidden="1" x14ac:dyDescent="0.35">
      <c r="A121" s="272"/>
      <c r="B121" s="254" t="s">
        <v>300</v>
      </c>
      <c r="C121" s="255">
        <v>0.25900000000000001</v>
      </c>
      <c r="D121" s="256">
        <f t="shared" si="18"/>
        <v>2.3545454545454545</v>
      </c>
      <c r="E121" s="173">
        <v>44360</v>
      </c>
      <c r="F121" s="257">
        <f t="shared" si="19"/>
        <v>1.5385707844905321</v>
      </c>
      <c r="G121" s="258">
        <v>0.03</v>
      </c>
      <c r="H121" s="259">
        <f t="shared" si="20"/>
        <v>1.1111111111111112</v>
      </c>
      <c r="I121" s="273">
        <v>4096</v>
      </c>
      <c r="J121" s="274">
        <v>4122</v>
      </c>
      <c r="K121" s="262">
        <f t="shared" si="16"/>
        <v>6.3E-3</v>
      </c>
      <c r="L121" s="263">
        <f t="shared" si="21"/>
        <v>1</v>
      </c>
      <c r="M121" s="257">
        <f t="shared" si="22"/>
        <v>0.86422413793103448</v>
      </c>
      <c r="N121" s="264">
        <f t="shared" si="17"/>
        <v>6.0042273501470973</v>
      </c>
      <c r="O121" s="174">
        <v>460</v>
      </c>
      <c r="P121" s="265">
        <f t="shared" si="29"/>
        <v>1.04E-2</v>
      </c>
      <c r="Q121" s="266">
        <f t="shared" si="24"/>
        <v>7.04</v>
      </c>
      <c r="R121" s="275">
        <f t="shared" si="25"/>
        <v>0.25</v>
      </c>
      <c r="S121" s="270">
        <f t="shared" si="26"/>
        <v>0.49559999999999998</v>
      </c>
      <c r="T121" s="269">
        <f t="shared" si="28"/>
        <v>0.49559999999999998</v>
      </c>
      <c r="U121" s="270">
        <f t="shared" si="27"/>
        <v>0</v>
      </c>
      <c r="V121" s="209" t="s">
        <v>301</v>
      </c>
    </row>
    <row r="122" spans="1:22" ht="15.5" hidden="1" x14ac:dyDescent="0.35">
      <c r="A122" s="272"/>
      <c r="B122" s="254" t="s">
        <v>151</v>
      </c>
      <c r="C122" s="255">
        <v>0.21</v>
      </c>
      <c r="D122" s="256">
        <f t="shared" si="18"/>
        <v>1.9090909090909089</v>
      </c>
      <c r="E122" s="173">
        <v>51442</v>
      </c>
      <c r="F122" s="257">
        <f t="shared" si="19"/>
        <v>1.326756346953851</v>
      </c>
      <c r="G122" s="258">
        <v>1.6E-2</v>
      </c>
      <c r="H122" s="259">
        <f t="shared" si="20"/>
        <v>0.59259259259259256</v>
      </c>
      <c r="I122" s="273">
        <v>5171</v>
      </c>
      <c r="J122" s="274">
        <v>5265</v>
      </c>
      <c r="K122" s="262">
        <f t="shared" si="16"/>
        <v>1.8200000000000001E-2</v>
      </c>
      <c r="L122" s="263">
        <f t="shared" si="21"/>
        <v>1</v>
      </c>
      <c r="M122" s="257">
        <f t="shared" si="22"/>
        <v>0.60775862068965514</v>
      </c>
      <c r="N122" s="264">
        <f t="shared" si="17"/>
        <v>4.8284398486373528</v>
      </c>
      <c r="O122" s="174">
        <v>621</v>
      </c>
      <c r="P122" s="265">
        <f t="shared" si="29"/>
        <v>1.21E-2</v>
      </c>
      <c r="Q122" s="266">
        <f t="shared" si="24"/>
        <v>6.04</v>
      </c>
      <c r="R122" s="267">
        <f t="shared" si="25"/>
        <v>0</v>
      </c>
      <c r="S122" s="268">
        <f t="shared" si="26"/>
        <v>0</v>
      </c>
      <c r="T122" s="269" t="str">
        <f t="shared" si="28"/>
        <v xml:space="preserve"> </v>
      </c>
      <c r="U122" s="270">
        <f t="shared" si="27"/>
        <v>0</v>
      </c>
    </row>
    <row r="123" spans="1:22" ht="15.5" hidden="1" x14ac:dyDescent="0.35">
      <c r="A123" s="272"/>
      <c r="B123" s="254" t="s">
        <v>152</v>
      </c>
      <c r="C123" s="255">
        <v>0.38200000000000001</v>
      </c>
      <c r="D123" s="256">
        <f t="shared" si="18"/>
        <v>3.4727272727272727</v>
      </c>
      <c r="E123" s="173">
        <v>25952</v>
      </c>
      <c r="F123" s="257">
        <f t="shared" si="19"/>
        <v>2.6298936498150431</v>
      </c>
      <c r="G123" s="277">
        <v>7.2999999999999995E-2</v>
      </c>
      <c r="H123" s="278">
        <f t="shared" si="20"/>
        <v>2.7037037037037037</v>
      </c>
      <c r="I123" s="273">
        <v>683</v>
      </c>
      <c r="J123" s="274">
        <v>715</v>
      </c>
      <c r="K123" s="262">
        <f t="shared" si="16"/>
        <v>4.6899999999999997E-2</v>
      </c>
      <c r="L123" s="263">
        <f t="shared" si="21"/>
        <v>0.5</v>
      </c>
      <c r="M123" s="257">
        <f t="shared" si="22"/>
        <v>-1.0775862068965528E-2</v>
      </c>
      <c r="N123" s="264">
        <f t="shared" si="17"/>
        <v>9.3063246262460204</v>
      </c>
      <c r="O123" s="185" t="s">
        <v>140</v>
      </c>
      <c r="P123" s="265"/>
      <c r="Q123" s="266">
        <f t="shared" si="24"/>
        <v>9.31</v>
      </c>
      <c r="R123" s="267">
        <f t="shared" si="25"/>
        <v>0.75</v>
      </c>
      <c r="S123" s="268">
        <f t="shared" si="26"/>
        <v>0.86680000000000001</v>
      </c>
      <c r="T123" s="269">
        <f t="shared" si="28"/>
        <v>0.86680000000000001</v>
      </c>
      <c r="U123" s="270">
        <f t="shared" si="27"/>
        <v>0.86680000000000001</v>
      </c>
    </row>
    <row r="124" spans="1:22" ht="15.5" hidden="1" x14ac:dyDescent="0.35">
      <c r="A124" s="272"/>
      <c r="B124" s="254" t="s">
        <v>153</v>
      </c>
      <c r="C124" s="255">
        <v>0.436</v>
      </c>
      <c r="D124" s="256">
        <f t="shared" si="18"/>
        <v>3.9636363636363634</v>
      </c>
      <c r="E124" s="173">
        <v>26429</v>
      </c>
      <c r="F124" s="257">
        <f t="shared" si="19"/>
        <v>2.5824283930530858</v>
      </c>
      <c r="G124" s="277">
        <v>8.7999999999999995E-2</v>
      </c>
      <c r="H124" s="278">
        <f t="shared" si="20"/>
        <v>3.2592592592592591</v>
      </c>
      <c r="I124" s="273">
        <v>713</v>
      </c>
      <c r="J124" s="274">
        <v>741</v>
      </c>
      <c r="K124" s="262">
        <f t="shared" si="16"/>
        <v>3.9300000000000002E-2</v>
      </c>
      <c r="L124" s="263">
        <f t="shared" si="21"/>
        <v>1</v>
      </c>
      <c r="M124" s="257">
        <f t="shared" si="22"/>
        <v>0.15301724137931025</v>
      </c>
      <c r="N124" s="264">
        <f t="shared" si="17"/>
        <v>10.805324015948708</v>
      </c>
      <c r="O124" s="185" t="s">
        <v>140</v>
      </c>
      <c r="P124" s="265"/>
      <c r="Q124" s="266">
        <f t="shared" si="24"/>
        <v>10.81</v>
      </c>
      <c r="R124" s="275">
        <f t="shared" si="25"/>
        <v>1</v>
      </c>
      <c r="S124" s="270">
        <f t="shared" si="26"/>
        <v>1</v>
      </c>
      <c r="T124" s="269">
        <f t="shared" si="28"/>
        <v>1</v>
      </c>
      <c r="U124" s="270">
        <f t="shared" si="27"/>
        <v>1</v>
      </c>
    </row>
    <row r="125" spans="1:22" ht="15.5" x14ac:dyDescent="0.35">
      <c r="A125" s="272"/>
      <c r="B125" s="254" t="s">
        <v>154</v>
      </c>
      <c r="C125" s="255">
        <v>0.27</v>
      </c>
      <c r="D125" s="256">
        <f t="shared" si="18"/>
        <v>2.4545454545454546</v>
      </c>
      <c r="E125" s="173">
        <v>25000</v>
      </c>
      <c r="F125" s="257">
        <f t="shared" si="19"/>
        <v>2.7300399999999998</v>
      </c>
      <c r="G125" s="670">
        <v>3.5999999999999997E-2</v>
      </c>
      <c r="H125" s="259">
        <f t="shared" si="20"/>
        <v>1.3333333333333333</v>
      </c>
      <c r="I125" s="273">
        <v>1003</v>
      </c>
      <c r="J125" s="274">
        <v>888</v>
      </c>
      <c r="K125" s="262">
        <f t="shared" si="16"/>
        <v>-0.1147</v>
      </c>
      <c r="L125" s="263">
        <f t="shared" si="21"/>
        <v>2.5</v>
      </c>
      <c r="M125" s="257">
        <f t="shared" si="22"/>
        <v>3.4719827586206899</v>
      </c>
      <c r="N125" s="264">
        <f t="shared" si="17"/>
        <v>9.0179187878787879</v>
      </c>
      <c r="O125" s="468">
        <v>1176</v>
      </c>
      <c r="P125" s="265">
        <f>ROUND(O125/E125,4)</f>
        <v>4.7E-2</v>
      </c>
      <c r="Q125" s="266">
        <f t="shared" si="24"/>
        <v>13.72</v>
      </c>
      <c r="R125" s="267">
        <f t="shared" si="25"/>
        <v>1</v>
      </c>
      <c r="S125" s="268">
        <f t="shared" si="26"/>
        <v>1</v>
      </c>
      <c r="T125" s="269">
        <f t="shared" si="28"/>
        <v>1</v>
      </c>
      <c r="U125" s="270">
        <f t="shared" si="27"/>
        <v>1</v>
      </c>
    </row>
    <row r="126" spans="1:22" ht="15.5" hidden="1" x14ac:dyDescent="0.35">
      <c r="A126" s="272"/>
      <c r="B126" s="254" t="s">
        <v>155</v>
      </c>
      <c r="C126" s="255">
        <v>0.309</v>
      </c>
      <c r="D126" s="256">
        <f t="shared" si="18"/>
        <v>2.8090909090909091</v>
      </c>
      <c r="E126" s="173">
        <v>32955</v>
      </c>
      <c r="F126" s="257">
        <f t="shared" si="19"/>
        <v>2.071036261568806</v>
      </c>
      <c r="G126" s="277">
        <v>6.3E-2</v>
      </c>
      <c r="H126" s="278">
        <f t="shared" si="20"/>
        <v>2.3333333333333335</v>
      </c>
      <c r="I126" s="273">
        <v>585</v>
      </c>
      <c r="J126" s="274">
        <v>608</v>
      </c>
      <c r="K126" s="262">
        <f t="shared" si="16"/>
        <v>3.9300000000000002E-2</v>
      </c>
      <c r="L126" s="263">
        <f t="shared" si="21"/>
        <v>1</v>
      </c>
      <c r="M126" s="257">
        <f t="shared" si="22"/>
        <v>0.15301724137931025</v>
      </c>
      <c r="N126" s="264">
        <f t="shared" si="17"/>
        <v>8.2134605039930495</v>
      </c>
      <c r="O126" s="185" t="s">
        <v>140</v>
      </c>
      <c r="P126" s="265"/>
      <c r="Q126" s="266">
        <f t="shared" si="24"/>
        <v>8.2100000000000009</v>
      </c>
      <c r="R126" s="275">
        <f t="shared" si="25"/>
        <v>0.5</v>
      </c>
      <c r="S126" s="270">
        <f t="shared" si="26"/>
        <v>0.67400000000000004</v>
      </c>
      <c r="T126" s="269">
        <f t="shared" si="28"/>
        <v>0.67400000000000004</v>
      </c>
      <c r="U126" s="270">
        <f t="shared" si="27"/>
        <v>0.67400000000000004</v>
      </c>
    </row>
    <row r="127" spans="1:22" ht="15.5" hidden="1" x14ac:dyDescent="0.35">
      <c r="A127" s="272"/>
      <c r="B127" s="254" t="s">
        <v>156</v>
      </c>
      <c r="C127" s="255">
        <v>0.26400000000000001</v>
      </c>
      <c r="D127" s="256">
        <f t="shared" si="18"/>
        <v>2.4</v>
      </c>
      <c r="E127" s="173">
        <v>41544</v>
      </c>
      <c r="F127" s="257">
        <f t="shared" si="19"/>
        <v>1.6428605815520894</v>
      </c>
      <c r="G127" s="258">
        <v>0.02</v>
      </c>
      <c r="H127" s="259">
        <f t="shared" si="20"/>
        <v>0.74074074074074081</v>
      </c>
      <c r="I127" s="273">
        <v>4215</v>
      </c>
      <c r="J127" s="274">
        <v>3908</v>
      </c>
      <c r="K127" s="262">
        <f t="shared" si="16"/>
        <v>-7.2800000000000004E-2</v>
      </c>
      <c r="L127" s="263">
        <f t="shared" si="21"/>
        <v>2</v>
      </c>
      <c r="M127" s="257">
        <f t="shared" si="22"/>
        <v>2.5689655172413794</v>
      </c>
      <c r="N127" s="264">
        <f t="shared" si="17"/>
        <v>6.7836013222928297</v>
      </c>
      <c r="O127" s="176">
        <v>302</v>
      </c>
      <c r="P127" s="265">
        <f t="shared" ref="P127:P144" si="30">ROUND(O127/E127,4)</f>
        <v>7.3000000000000001E-3</v>
      </c>
      <c r="Q127" s="266">
        <f t="shared" si="24"/>
        <v>7.51</v>
      </c>
      <c r="R127" s="275">
        <f t="shared" si="25"/>
        <v>0.5</v>
      </c>
      <c r="S127" s="270">
        <f t="shared" si="26"/>
        <v>0.56399999999999995</v>
      </c>
      <c r="T127" s="269">
        <f t="shared" si="28"/>
        <v>0.56399999999999995</v>
      </c>
      <c r="U127" s="270">
        <f t="shared" si="27"/>
        <v>0.56399999999999995</v>
      </c>
      <c r="V127" s="209" t="s">
        <v>302</v>
      </c>
    </row>
    <row r="128" spans="1:22" ht="15.5" x14ac:dyDescent="0.35">
      <c r="A128" s="272"/>
      <c r="B128" s="254" t="s">
        <v>157</v>
      </c>
      <c r="C128" s="255">
        <v>0.11799999999999999</v>
      </c>
      <c r="D128" s="256">
        <f t="shared" si="18"/>
        <v>1.0727272727272728</v>
      </c>
      <c r="E128" s="173">
        <v>71498</v>
      </c>
      <c r="F128" s="257">
        <f t="shared" si="19"/>
        <v>0.95458614226971383</v>
      </c>
      <c r="G128" s="670">
        <v>2.8000000000000001E-2</v>
      </c>
      <c r="H128" s="259">
        <f t="shared" si="20"/>
        <v>1.037037037037037</v>
      </c>
      <c r="I128" s="273">
        <v>66216</v>
      </c>
      <c r="J128" s="274">
        <v>68424</v>
      </c>
      <c r="K128" s="262">
        <f t="shared" si="16"/>
        <v>3.3300000000000003E-2</v>
      </c>
      <c r="L128" s="263">
        <f t="shared" si="21"/>
        <v>1</v>
      </c>
      <c r="M128" s="257">
        <f t="shared" si="22"/>
        <v>0.28232758620689641</v>
      </c>
      <c r="N128" s="264">
        <f t="shared" si="17"/>
        <v>4.0643504520340237</v>
      </c>
      <c r="O128" s="468">
        <v>1935</v>
      </c>
      <c r="P128" s="265">
        <f t="shared" si="30"/>
        <v>2.7099999999999999E-2</v>
      </c>
      <c r="Q128" s="266">
        <f t="shared" si="24"/>
        <v>6.77</v>
      </c>
      <c r="R128" s="275">
        <f t="shared" si="25"/>
        <v>0.25</v>
      </c>
      <c r="S128" s="270">
        <f t="shared" si="26"/>
        <v>0.45829999999999999</v>
      </c>
      <c r="T128" s="269" t="str">
        <f t="shared" si="28"/>
        <v xml:space="preserve"> </v>
      </c>
      <c r="U128" s="270">
        <f t="shared" si="27"/>
        <v>0</v>
      </c>
    </row>
    <row r="129" spans="1:22" ht="15.5" hidden="1" x14ac:dyDescent="0.35">
      <c r="A129" s="272"/>
      <c r="B129" s="254" t="s">
        <v>158</v>
      </c>
      <c r="C129" s="255">
        <v>0.16200000000000001</v>
      </c>
      <c r="D129" s="256">
        <f t="shared" si="18"/>
        <v>1.4727272727272727</v>
      </c>
      <c r="E129" s="173">
        <v>39366</v>
      </c>
      <c r="F129" s="257">
        <f t="shared" si="19"/>
        <v>1.7337550170197633</v>
      </c>
      <c r="G129" s="277">
        <v>2.1000000000000001E-2</v>
      </c>
      <c r="H129" s="278">
        <f t="shared" si="20"/>
        <v>0.77777777777777779</v>
      </c>
      <c r="I129" s="273">
        <v>9692</v>
      </c>
      <c r="J129" s="274">
        <v>8797</v>
      </c>
      <c r="K129" s="262">
        <f t="shared" si="16"/>
        <v>-9.2299999999999993E-2</v>
      </c>
      <c r="L129" s="263">
        <f t="shared" si="21"/>
        <v>2</v>
      </c>
      <c r="M129" s="257">
        <f t="shared" si="22"/>
        <v>2.9892241379310343</v>
      </c>
      <c r="N129" s="264">
        <f t="shared" si="17"/>
        <v>5.9842600675248132</v>
      </c>
      <c r="O129" s="176">
        <v>657</v>
      </c>
      <c r="P129" s="265">
        <f t="shared" si="30"/>
        <v>1.67E-2</v>
      </c>
      <c r="Q129" s="266">
        <f t="shared" si="24"/>
        <v>7.65</v>
      </c>
      <c r="R129" s="275">
        <f t="shared" si="25"/>
        <v>0.5</v>
      </c>
      <c r="S129" s="270">
        <f t="shared" si="26"/>
        <v>0.58520000000000005</v>
      </c>
      <c r="T129" s="269">
        <f t="shared" si="28"/>
        <v>0.58520000000000005</v>
      </c>
      <c r="U129" s="270">
        <f t="shared" si="27"/>
        <v>0.58520000000000005</v>
      </c>
    </row>
    <row r="130" spans="1:22" ht="15.5" hidden="1" x14ac:dyDescent="0.35">
      <c r="A130" s="272"/>
      <c r="B130" s="254" t="s">
        <v>159</v>
      </c>
      <c r="C130" s="255">
        <v>0.193</v>
      </c>
      <c r="D130" s="256">
        <f t="shared" si="18"/>
        <v>1.7545454545454546</v>
      </c>
      <c r="E130" s="173">
        <v>50286</v>
      </c>
      <c r="F130" s="257">
        <f t="shared" si="19"/>
        <v>1.3572564928608359</v>
      </c>
      <c r="G130" s="258">
        <v>3.4000000000000002E-2</v>
      </c>
      <c r="H130" s="259">
        <f t="shared" si="20"/>
        <v>1.2592592592592593</v>
      </c>
      <c r="I130" s="273">
        <v>1709</v>
      </c>
      <c r="J130" s="274">
        <v>1788</v>
      </c>
      <c r="K130" s="262">
        <f t="shared" si="16"/>
        <v>4.6199999999999998E-2</v>
      </c>
      <c r="L130" s="263">
        <f t="shared" si="21"/>
        <v>1</v>
      </c>
      <c r="M130" s="257">
        <f t="shared" si="22"/>
        <v>4.3103448275861808E-3</v>
      </c>
      <c r="N130" s="264">
        <f t="shared" si="17"/>
        <v>5.3710612066655496</v>
      </c>
      <c r="O130" s="174">
        <v>503</v>
      </c>
      <c r="P130" s="265">
        <f t="shared" si="30"/>
        <v>0.01</v>
      </c>
      <c r="Q130" s="266">
        <f t="shared" si="24"/>
        <v>6.37</v>
      </c>
      <c r="R130" s="275">
        <f t="shared" si="25"/>
        <v>0.25</v>
      </c>
      <c r="S130" s="270">
        <f t="shared" si="26"/>
        <v>0.40579999999999999</v>
      </c>
      <c r="T130" s="269" t="str">
        <f t="shared" si="28"/>
        <v xml:space="preserve"> </v>
      </c>
      <c r="U130" s="270">
        <f t="shared" si="27"/>
        <v>0</v>
      </c>
      <c r="V130" s="209" t="s">
        <v>303</v>
      </c>
    </row>
    <row r="131" spans="1:22" ht="15.5" hidden="1" x14ac:dyDescent="0.35">
      <c r="A131" s="272"/>
      <c r="B131" s="254" t="s">
        <v>160</v>
      </c>
      <c r="C131" s="255">
        <v>6.5000000000000002E-2</v>
      </c>
      <c r="D131" s="256">
        <f t="shared" si="18"/>
        <v>0.59090909090909094</v>
      </c>
      <c r="E131" s="173">
        <v>65500</v>
      </c>
      <c r="F131" s="257">
        <f t="shared" si="19"/>
        <v>1.042</v>
      </c>
      <c r="G131" s="258">
        <v>2.7E-2</v>
      </c>
      <c r="H131" s="259">
        <f t="shared" si="20"/>
        <v>1</v>
      </c>
      <c r="I131" s="273">
        <v>1168</v>
      </c>
      <c r="J131" s="274">
        <v>1222</v>
      </c>
      <c r="K131" s="262">
        <f t="shared" si="16"/>
        <v>4.6199999999999998E-2</v>
      </c>
      <c r="L131" s="263">
        <f t="shared" si="21"/>
        <v>1</v>
      </c>
      <c r="M131" s="257">
        <f t="shared" si="22"/>
        <v>4.3103448275861808E-3</v>
      </c>
      <c r="N131" s="264">
        <f t="shared" si="17"/>
        <v>3.6329090909090911</v>
      </c>
      <c r="O131" s="176">
        <v>754</v>
      </c>
      <c r="P131" s="265">
        <f t="shared" si="30"/>
        <v>1.15E-2</v>
      </c>
      <c r="Q131" s="266">
        <f t="shared" si="24"/>
        <v>4.78</v>
      </c>
      <c r="R131" s="275">
        <f t="shared" si="25"/>
        <v>0</v>
      </c>
      <c r="S131" s="270">
        <f t="shared" si="26"/>
        <v>0</v>
      </c>
      <c r="T131" s="269" t="str">
        <f t="shared" si="28"/>
        <v xml:space="preserve"> </v>
      </c>
      <c r="U131" s="270">
        <f t="shared" si="27"/>
        <v>0</v>
      </c>
    </row>
    <row r="132" spans="1:22" ht="15.5" x14ac:dyDescent="0.35">
      <c r="A132" s="272"/>
      <c r="B132" s="254" t="s">
        <v>385</v>
      </c>
      <c r="C132" s="255">
        <v>8.6999999999999994E-2</v>
      </c>
      <c r="D132" s="256">
        <f t="shared" si="18"/>
        <v>0.79090909090909089</v>
      </c>
      <c r="E132" s="173">
        <v>45455</v>
      </c>
      <c r="F132" s="257">
        <f t="shared" si="19"/>
        <v>1.5015069849301508</v>
      </c>
      <c r="G132" s="670">
        <v>3.5000000000000003E-2</v>
      </c>
      <c r="H132" s="259">
        <f t="shared" si="20"/>
        <v>1.2962962962962965</v>
      </c>
      <c r="I132" s="273">
        <v>3390</v>
      </c>
      <c r="J132" s="274">
        <v>3573</v>
      </c>
      <c r="K132" s="262">
        <f t="shared" si="16"/>
        <v>5.3999999999999999E-2</v>
      </c>
      <c r="L132" s="263">
        <f t="shared" si="21"/>
        <v>0.5</v>
      </c>
      <c r="M132" s="257">
        <f t="shared" si="22"/>
        <v>-0.16379310344827594</v>
      </c>
      <c r="N132" s="264">
        <f t="shared" si="17"/>
        <v>4.0887123721355385</v>
      </c>
      <c r="O132" s="468">
        <v>965</v>
      </c>
      <c r="P132" s="265">
        <f t="shared" si="30"/>
        <v>2.12E-2</v>
      </c>
      <c r="Q132" s="266">
        <f t="shared" si="24"/>
        <v>6.21</v>
      </c>
      <c r="R132" s="275">
        <f t="shared" si="25"/>
        <v>0</v>
      </c>
      <c r="S132" s="270">
        <f t="shared" si="26"/>
        <v>0</v>
      </c>
      <c r="T132" s="269" t="str">
        <f t="shared" si="28"/>
        <v xml:space="preserve"> </v>
      </c>
      <c r="U132" s="270">
        <f t="shared" si="27"/>
        <v>0</v>
      </c>
      <c r="V132" s="671" t="s">
        <v>1106</v>
      </c>
    </row>
    <row r="133" spans="1:22" ht="15.5" x14ac:dyDescent="0.35">
      <c r="A133" s="272"/>
      <c r="B133" s="254" t="s">
        <v>161</v>
      </c>
      <c r="C133" s="255">
        <v>0.16200000000000001</v>
      </c>
      <c r="D133" s="256">
        <f t="shared" si="18"/>
        <v>1.4727272727272727</v>
      </c>
      <c r="E133" s="173">
        <v>52212</v>
      </c>
      <c r="F133" s="257">
        <f t="shared" si="19"/>
        <v>1.3071899180265074</v>
      </c>
      <c r="G133" s="277">
        <v>3.9E-2</v>
      </c>
      <c r="H133" s="278">
        <f t="shared" si="20"/>
        <v>1.4444444444444444</v>
      </c>
      <c r="I133" s="273">
        <v>7225</v>
      </c>
      <c r="J133" s="274">
        <v>7002</v>
      </c>
      <c r="K133" s="262">
        <f t="shared" si="16"/>
        <v>-3.09E-2</v>
      </c>
      <c r="L133" s="263">
        <f t="shared" si="21"/>
        <v>1.5</v>
      </c>
      <c r="M133" s="257">
        <f t="shared" si="22"/>
        <v>1.665948275862069</v>
      </c>
      <c r="N133" s="264">
        <f t="shared" si="17"/>
        <v>5.7243616351982247</v>
      </c>
      <c r="O133" s="468">
        <v>474</v>
      </c>
      <c r="P133" s="265">
        <f t="shared" si="30"/>
        <v>9.1000000000000004E-3</v>
      </c>
      <c r="Q133" s="266">
        <f t="shared" si="24"/>
        <v>6.63</v>
      </c>
      <c r="R133" s="275">
        <f t="shared" si="25"/>
        <v>0.25</v>
      </c>
      <c r="S133" s="270">
        <f t="shared" si="26"/>
        <v>0.43959999999999999</v>
      </c>
      <c r="T133" s="269" t="str">
        <f t="shared" si="28"/>
        <v xml:space="preserve"> </v>
      </c>
      <c r="U133" s="270">
        <f t="shared" si="27"/>
        <v>0</v>
      </c>
    </row>
    <row r="134" spans="1:22" ht="15.5" x14ac:dyDescent="0.35">
      <c r="A134" s="272"/>
      <c r="B134" s="254" t="s">
        <v>240</v>
      </c>
      <c r="C134" s="255">
        <v>6.8000000000000005E-2</v>
      </c>
      <c r="D134" s="256">
        <f t="shared" si="18"/>
        <v>0.61818181818181828</v>
      </c>
      <c r="E134" s="173">
        <v>83542</v>
      </c>
      <c r="F134" s="257">
        <f t="shared" si="19"/>
        <v>0.81696631634387495</v>
      </c>
      <c r="G134" s="670">
        <v>4.2000000000000003E-2</v>
      </c>
      <c r="H134" s="259">
        <f t="shared" si="20"/>
        <v>1.5555555555555556</v>
      </c>
      <c r="I134" s="273">
        <v>3309</v>
      </c>
      <c r="J134" s="274">
        <v>3709</v>
      </c>
      <c r="K134" s="262">
        <f t="shared" si="16"/>
        <v>0.12089999999999999</v>
      </c>
      <c r="L134" s="263">
        <f t="shared" si="21"/>
        <v>0</v>
      </c>
      <c r="M134" s="257">
        <f t="shared" si="22"/>
        <v>-1.6056034482758621</v>
      </c>
      <c r="N134" s="264">
        <f t="shared" si="17"/>
        <v>2.9907036900812489</v>
      </c>
      <c r="O134" s="470">
        <v>3387</v>
      </c>
      <c r="P134" s="265">
        <f t="shared" si="30"/>
        <v>4.0500000000000001E-2</v>
      </c>
      <c r="Q134" s="266">
        <f t="shared" si="24"/>
        <v>7.04</v>
      </c>
      <c r="R134" s="275">
        <f t="shared" si="25"/>
        <v>0.25</v>
      </c>
      <c r="S134" s="270">
        <f t="shared" si="26"/>
        <v>0.49559999999999998</v>
      </c>
      <c r="T134" s="269">
        <f t="shared" si="28"/>
        <v>0.49559999999999998</v>
      </c>
      <c r="U134" s="270">
        <f t="shared" si="27"/>
        <v>0</v>
      </c>
      <c r="V134" s="671" t="s">
        <v>1107</v>
      </c>
    </row>
    <row r="135" spans="1:22" ht="15.5" hidden="1" x14ac:dyDescent="0.35">
      <c r="A135" s="272"/>
      <c r="B135" s="254" t="s">
        <v>162</v>
      </c>
      <c r="C135" s="255">
        <v>0.185</v>
      </c>
      <c r="D135" s="256">
        <f t="shared" si="18"/>
        <v>1.6818181818181819</v>
      </c>
      <c r="E135" s="173">
        <v>37538</v>
      </c>
      <c r="F135" s="257">
        <f t="shared" si="19"/>
        <v>1.8181842399701635</v>
      </c>
      <c r="G135" s="258">
        <v>2.4E-2</v>
      </c>
      <c r="H135" s="259">
        <f t="shared" si="20"/>
        <v>0.88888888888888895</v>
      </c>
      <c r="I135" s="273">
        <v>5810</v>
      </c>
      <c r="J135" s="274">
        <v>5898</v>
      </c>
      <c r="K135" s="262">
        <f t="shared" si="16"/>
        <v>1.5100000000000001E-2</v>
      </c>
      <c r="L135" s="263">
        <f t="shared" si="21"/>
        <v>1</v>
      </c>
      <c r="M135" s="257">
        <f t="shared" si="22"/>
        <v>0.67456896551724133</v>
      </c>
      <c r="N135" s="264">
        <f t="shared" si="17"/>
        <v>5.3888913106772343</v>
      </c>
      <c r="O135" s="177">
        <v>575</v>
      </c>
      <c r="P135" s="265">
        <f t="shared" si="30"/>
        <v>1.5299999999999999E-2</v>
      </c>
      <c r="Q135" s="266">
        <f t="shared" si="24"/>
        <v>6.92</v>
      </c>
      <c r="R135" s="267">
        <f t="shared" si="25"/>
        <v>0.25</v>
      </c>
      <c r="S135" s="268">
        <f t="shared" si="26"/>
        <v>0.47889999999999999</v>
      </c>
      <c r="T135" s="269" t="str">
        <f t="shared" si="28"/>
        <v xml:space="preserve"> </v>
      </c>
      <c r="U135" s="268">
        <f t="shared" si="27"/>
        <v>0</v>
      </c>
      <c r="V135" s="209" t="s">
        <v>304</v>
      </c>
    </row>
    <row r="136" spans="1:22" ht="15.5" x14ac:dyDescent="0.35">
      <c r="A136" s="272"/>
      <c r="B136" s="254" t="s">
        <v>386</v>
      </c>
      <c r="C136" s="255">
        <v>0.246</v>
      </c>
      <c r="D136" s="256">
        <f t="shared" si="18"/>
        <v>2.2363636363636363</v>
      </c>
      <c r="E136" s="173">
        <v>46200</v>
      </c>
      <c r="F136" s="257">
        <f t="shared" si="19"/>
        <v>1.4772943722943723</v>
      </c>
      <c r="G136" s="670">
        <v>0</v>
      </c>
      <c r="H136" s="259">
        <f t="shared" si="20"/>
        <v>0</v>
      </c>
      <c r="I136" s="273">
        <v>5004</v>
      </c>
      <c r="J136" s="274">
        <v>5103</v>
      </c>
      <c r="K136" s="262">
        <f t="shared" si="16"/>
        <v>1.9800000000000002E-2</v>
      </c>
      <c r="L136" s="263">
        <f t="shared" si="21"/>
        <v>1</v>
      </c>
      <c r="M136" s="257">
        <f t="shared" si="22"/>
        <v>0.57327586206896541</v>
      </c>
      <c r="N136" s="264">
        <f t="shared" si="17"/>
        <v>4.7136580086580082</v>
      </c>
      <c r="O136" s="468">
        <v>781</v>
      </c>
      <c r="P136" s="265">
        <f t="shared" si="30"/>
        <v>1.6899999999999998E-2</v>
      </c>
      <c r="Q136" s="266">
        <f t="shared" si="24"/>
        <v>6.4</v>
      </c>
      <c r="R136" s="275">
        <f t="shared" si="25"/>
        <v>0.25</v>
      </c>
      <c r="S136" s="270">
        <f t="shared" si="26"/>
        <v>0.40960000000000002</v>
      </c>
      <c r="T136" s="269" t="str">
        <f t="shared" si="28"/>
        <v xml:space="preserve"> </v>
      </c>
      <c r="U136" s="270">
        <f t="shared" si="27"/>
        <v>0</v>
      </c>
      <c r="V136" s="671" t="s">
        <v>1091</v>
      </c>
    </row>
    <row r="137" spans="1:22" ht="15.5" x14ac:dyDescent="0.35">
      <c r="A137" s="272"/>
      <c r="B137" s="254" t="s">
        <v>163</v>
      </c>
      <c r="C137" s="255">
        <v>0.08</v>
      </c>
      <c r="D137" s="256">
        <f t="shared" si="18"/>
        <v>0.72727272727272729</v>
      </c>
      <c r="E137" s="173">
        <v>70517</v>
      </c>
      <c r="F137" s="257">
        <f t="shared" si="19"/>
        <v>0.96786590467546829</v>
      </c>
      <c r="G137" s="670">
        <v>8.0000000000000002E-3</v>
      </c>
      <c r="H137" s="259">
        <f t="shared" si="20"/>
        <v>0.29629629629629628</v>
      </c>
      <c r="I137" s="273">
        <v>18758</v>
      </c>
      <c r="J137" s="274">
        <v>20872</v>
      </c>
      <c r="K137" s="262">
        <f t="shared" si="16"/>
        <v>0.11269999999999999</v>
      </c>
      <c r="L137" s="263">
        <f t="shared" si="21"/>
        <v>0</v>
      </c>
      <c r="M137" s="257">
        <f t="shared" si="22"/>
        <v>-1.4288793103448276</v>
      </c>
      <c r="N137" s="264">
        <f t="shared" si="17"/>
        <v>1.9914349282444919</v>
      </c>
      <c r="O137" s="468">
        <v>854</v>
      </c>
      <c r="P137" s="265">
        <f t="shared" si="30"/>
        <v>1.21E-2</v>
      </c>
      <c r="Q137" s="266">
        <f t="shared" si="24"/>
        <v>3.2</v>
      </c>
      <c r="R137" s="275">
        <f t="shared" si="25"/>
        <v>0</v>
      </c>
      <c r="S137" s="270">
        <f t="shared" si="26"/>
        <v>0</v>
      </c>
      <c r="T137" s="269" t="str">
        <f t="shared" si="28"/>
        <v xml:space="preserve"> </v>
      </c>
      <c r="U137" s="270">
        <f t="shared" si="27"/>
        <v>0</v>
      </c>
    </row>
    <row r="138" spans="1:22" ht="15.5" hidden="1" x14ac:dyDescent="0.35">
      <c r="A138" s="272"/>
      <c r="B138" s="254" t="s">
        <v>228</v>
      </c>
      <c r="C138" s="255">
        <v>9.5000000000000001E-2</v>
      </c>
      <c r="D138" s="256">
        <f t="shared" si="18"/>
        <v>0.86363636363636365</v>
      </c>
      <c r="E138" s="173">
        <v>65671</v>
      </c>
      <c r="F138" s="257">
        <f t="shared" si="19"/>
        <v>1.0392867475750331</v>
      </c>
      <c r="G138" s="277">
        <v>3.3000000000000002E-2</v>
      </c>
      <c r="H138" s="278">
        <f t="shared" si="20"/>
        <v>1.2222222222222223</v>
      </c>
      <c r="I138" s="273">
        <v>20849</v>
      </c>
      <c r="J138" s="274">
        <v>22135</v>
      </c>
      <c r="K138" s="262">
        <f t="shared" si="16"/>
        <v>6.1699999999999998E-2</v>
      </c>
      <c r="L138" s="263">
        <f t="shared" si="21"/>
        <v>0.5</v>
      </c>
      <c r="M138" s="257">
        <f t="shared" si="22"/>
        <v>-0.32974137931034486</v>
      </c>
      <c r="N138" s="264">
        <f t="shared" si="17"/>
        <v>3.6251453334336192</v>
      </c>
      <c r="O138" s="177">
        <v>1145</v>
      </c>
      <c r="P138" s="265">
        <f t="shared" si="30"/>
        <v>1.7399999999999999E-2</v>
      </c>
      <c r="Q138" s="266">
        <f t="shared" si="24"/>
        <v>5.37</v>
      </c>
      <c r="R138" s="275">
        <f t="shared" si="25"/>
        <v>0</v>
      </c>
      <c r="S138" s="270">
        <f t="shared" si="26"/>
        <v>0</v>
      </c>
      <c r="T138" s="269" t="str">
        <f t="shared" si="28"/>
        <v xml:space="preserve"> </v>
      </c>
      <c r="U138" s="270">
        <f t="shared" si="27"/>
        <v>0</v>
      </c>
    </row>
    <row r="139" spans="1:22" ht="15.5" hidden="1" x14ac:dyDescent="0.35">
      <c r="A139" s="272"/>
      <c r="B139" s="254" t="s">
        <v>164</v>
      </c>
      <c r="C139" s="255">
        <v>0.246</v>
      </c>
      <c r="D139" s="256">
        <f t="shared" si="18"/>
        <v>2.2363636363636363</v>
      </c>
      <c r="E139" s="173">
        <v>40375</v>
      </c>
      <c r="F139" s="257">
        <f t="shared" si="19"/>
        <v>1.6904272445820434</v>
      </c>
      <c r="G139" s="277">
        <v>3.5000000000000003E-2</v>
      </c>
      <c r="H139" s="278">
        <f t="shared" si="20"/>
        <v>1.2962962962962965</v>
      </c>
      <c r="I139" s="273">
        <v>1326</v>
      </c>
      <c r="J139" s="274">
        <v>1343</v>
      </c>
      <c r="K139" s="262">
        <f t="shared" si="16"/>
        <v>1.2800000000000001E-2</v>
      </c>
      <c r="L139" s="263">
        <f t="shared" si="21"/>
        <v>1</v>
      </c>
      <c r="M139" s="257">
        <f t="shared" si="22"/>
        <v>0.72413793103448276</v>
      </c>
      <c r="N139" s="264">
        <f t="shared" si="17"/>
        <v>6.2230871772419762</v>
      </c>
      <c r="O139" s="174">
        <v>400.96</v>
      </c>
      <c r="P139" s="265">
        <f t="shared" si="30"/>
        <v>9.9000000000000008E-3</v>
      </c>
      <c r="Q139" s="266">
        <f t="shared" si="24"/>
        <v>7.21</v>
      </c>
      <c r="R139" s="267">
        <f t="shared" si="25"/>
        <v>0.25</v>
      </c>
      <c r="S139" s="268">
        <f t="shared" si="26"/>
        <v>0.51980000000000004</v>
      </c>
      <c r="T139" s="269">
        <f t="shared" si="28"/>
        <v>0.51980000000000004</v>
      </c>
      <c r="U139" s="270">
        <f t="shared" si="27"/>
        <v>0</v>
      </c>
    </row>
    <row r="140" spans="1:22" ht="15.5" hidden="1" x14ac:dyDescent="0.35">
      <c r="A140" s="272"/>
      <c r="B140" s="254" t="s">
        <v>165</v>
      </c>
      <c r="C140" s="255">
        <v>5.0999999999999997E-2</v>
      </c>
      <c r="D140" s="256">
        <f t="shared" si="18"/>
        <v>0.46363636363636362</v>
      </c>
      <c r="E140" s="173">
        <v>78690</v>
      </c>
      <c r="F140" s="257">
        <f t="shared" si="19"/>
        <v>0.86734019570466392</v>
      </c>
      <c r="G140" s="258">
        <v>1.2999999999999999E-2</v>
      </c>
      <c r="H140" s="259">
        <f t="shared" si="20"/>
        <v>0.48148148148148145</v>
      </c>
      <c r="I140" s="273">
        <v>20991</v>
      </c>
      <c r="J140" s="274">
        <v>18875</v>
      </c>
      <c r="K140" s="262">
        <f t="shared" si="16"/>
        <v>-0.1008</v>
      </c>
      <c r="L140" s="263">
        <f t="shared" si="21"/>
        <v>2</v>
      </c>
      <c r="M140" s="257">
        <f t="shared" si="22"/>
        <v>3.1724137931034484</v>
      </c>
      <c r="N140" s="264">
        <f t="shared" si="17"/>
        <v>3.8124580408225088</v>
      </c>
      <c r="O140" s="175"/>
      <c r="P140" s="265">
        <f t="shared" si="30"/>
        <v>0</v>
      </c>
      <c r="Q140" s="266">
        <f t="shared" si="24"/>
        <v>3.81</v>
      </c>
      <c r="R140" s="275">
        <f t="shared" si="25"/>
        <v>0</v>
      </c>
      <c r="S140" s="270">
        <f t="shared" si="26"/>
        <v>0</v>
      </c>
      <c r="T140" s="269" t="str">
        <f t="shared" si="28"/>
        <v xml:space="preserve"> </v>
      </c>
      <c r="U140" s="270">
        <f t="shared" si="27"/>
        <v>0</v>
      </c>
      <c r="V140" s="209" t="s">
        <v>305</v>
      </c>
    </row>
    <row r="141" spans="1:22" ht="15.5" hidden="1" x14ac:dyDescent="0.35">
      <c r="A141" s="272"/>
      <c r="B141" s="254" t="s">
        <v>166</v>
      </c>
      <c r="C141" s="255">
        <v>3.7999999999999999E-2</v>
      </c>
      <c r="D141" s="256">
        <f t="shared" si="18"/>
        <v>0.34545454545454546</v>
      </c>
      <c r="E141" s="173">
        <v>47452</v>
      </c>
      <c r="F141" s="257">
        <f t="shared" si="19"/>
        <v>1.4383166146843125</v>
      </c>
      <c r="G141" s="258">
        <v>0.14000000000000001</v>
      </c>
      <c r="H141" s="259">
        <f t="shared" si="20"/>
        <v>5.185185185185186</v>
      </c>
      <c r="I141" s="273">
        <v>2633</v>
      </c>
      <c r="J141" s="274">
        <v>2661</v>
      </c>
      <c r="K141" s="262">
        <f t="shared" si="16"/>
        <v>1.06E-2</v>
      </c>
      <c r="L141" s="263">
        <f t="shared" si="21"/>
        <v>1</v>
      </c>
      <c r="M141" s="257">
        <f t="shared" si="22"/>
        <v>0.77155172413793105</v>
      </c>
      <c r="N141" s="264">
        <f t="shared" si="17"/>
        <v>7.9689563453240435</v>
      </c>
      <c r="O141" s="178">
        <v>1855</v>
      </c>
      <c r="P141" s="265">
        <f t="shared" si="30"/>
        <v>3.9100000000000003E-2</v>
      </c>
      <c r="Q141" s="266">
        <f t="shared" si="24"/>
        <v>11.88</v>
      </c>
      <c r="R141" s="267">
        <f t="shared" si="25"/>
        <v>1</v>
      </c>
      <c r="S141" s="268">
        <f t="shared" si="26"/>
        <v>1</v>
      </c>
      <c r="T141" s="269">
        <f t="shared" si="28"/>
        <v>1</v>
      </c>
      <c r="U141" s="270">
        <f t="shared" si="27"/>
        <v>1</v>
      </c>
    </row>
    <row r="142" spans="1:22" ht="15.5" hidden="1" x14ac:dyDescent="0.35">
      <c r="A142" s="272"/>
      <c r="B142" s="254" t="s">
        <v>167</v>
      </c>
      <c r="C142" s="255">
        <v>0.13500000000000001</v>
      </c>
      <c r="D142" s="256">
        <f t="shared" si="18"/>
        <v>1.2272727272727273</v>
      </c>
      <c r="E142" s="173">
        <v>66471</v>
      </c>
      <c r="F142" s="257">
        <f t="shared" si="19"/>
        <v>1.026778595176844</v>
      </c>
      <c r="G142" s="277">
        <v>0.01</v>
      </c>
      <c r="H142" s="278">
        <f t="shared" si="20"/>
        <v>0.37037037037037041</v>
      </c>
      <c r="I142" s="273">
        <v>746</v>
      </c>
      <c r="J142" s="274">
        <v>723</v>
      </c>
      <c r="K142" s="262">
        <f t="shared" ref="K142:K175" si="31">ROUND((J142-I142)/I142,4)</f>
        <v>-3.0800000000000001E-2</v>
      </c>
      <c r="L142" s="263">
        <f t="shared" si="21"/>
        <v>1.5</v>
      </c>
      <c r="M142" s="257">
        <f t="shared" si="22"/>
        <v>1.6637931034482758</v>
      </c>
      <c r="N142" s="264">
        <f t="shared" ref="N142:N175" si="32">D142+F142+H142+L142</f>
        <v>4.1244216928199418</v>
      </c>
      <c r="O142" s="174">
        <v>420</v>
      </c>
      <c r="P142" s="265">
        <f t="shared" si="30"/>
        <v>6.3E-3</v>
      </c>
      <c r="Q142" s="266">
        <f t="shared" si="24"/>
        <v>4.75</v>
      </c>
      <c r="R142" s="275">
        <f t="shared" si="25"/>
        <v>0</v>
      </c>
      <c r="S142" s="270">
        <f t="shared" si="26"/>
        <v>0</v>
      </c>
      <c r="T142" s="269" t="str">
        <f t="shared" si="28"/>
        <v xml:space="preserve"> </v>
      </c>
      <c r="U142" s="270">
        <f t="shared" si="27"/>
        <v>0</v>
      </c>
    </row>
    <row r="143" spans="1:22" ht="15.5" hidden="1" x14ac:dyDescent="0.35">
      <c r="A143" s="272"/>
      <c r="B143" s="254" t="s">
        <v>168</v>
      </c>
      <c r="C143" s="255">
        <v>0.19800000000000001</v>
      </c>
      <c r="D143" s="256">
        <f t="shared" si="18"/>
        <v>1.8</v>
      </c>
      <c r="E143" s="173">
        <v>42099</v>
      </c>
      <c r="F143" s="257">
        <f t="shared" si="19"/>
        <v>1.6212024038575739</v>
      </c>
      <c r="G143" s="258">
        <v>2.8000000000000001E-2</v>
      </c>
      <c r="H143" s="259">
        <f t="shared" si="20"/>
        <v>1.037037037037037</v>
      </c>
      <c r="I143" s="273">
        <v>8239</v>
      </c>
      <c r="J143" s="274">
        <v>8604</v>
      </c>
      <c r="K143" s="262">
        <f t="shared" si="31"/>
        <v>4.4299999999999999E-2</v>
      </c>
      <c r="L143" s="263">
        <f t="shared" si="21"/>
        <v>1</v>
      </c>
      <c r="M143" s="257">
        <f t="shared" si="22"/>
        <v>4.5258620689655124E-2</v>
      </c>
      <c r="N143" s="264">
        <f t="shared" si="32"/>
        <v>5.4582394408946113</v>
      </c>
      <c r="O143" s="185" t="s">
        <v>140</v>
      </c>
      <c r="P143" s="265"/>
      <c r="Q143" s="266">
        <f t="shared" si="24"/>
        <v>5.46</v>
      </c>
      <c r="R143" s="275">
        <f t="shared" si="25"/>
        <v>0</v>
      </c>
      <c r="S143" s="270">
        <f t="shared" si="26"/>
        <v>0</v>
      </c>
      <c r="T143" s="269" t="str">
        <f t="shared" si="28"/>
        <v xml:space="preserve"> </v>
      </c>
      <c r="U143" s="270">
        <f t="shared" si="27"/>
        <v>0</v>
      </c>
      <c r="V143" s="209" t="s">
        <v>306</v>
      </c>
    </row>
    <row r="144" spans="1:22" ht="15.5" x14ac:dyDescent="0.35">
      <c r="A144" s="272"/>
      <c r="B144" s="474" t="s">
        <v>1040</v>
      </c>
      <c r="C144" s="495">
        <v>4.7E-2</v>
      </c>
      <c r="D144" s="256">
        <f t="shared" si="18"/>
        <v>0.42727272727272725</v>
      </c>
      <c r="E144" s="470">
        <v>101932</v>
      </c>
      <c r="F144" s="257">
        <f t="shared" si="19"/>
        <v>0.66957383353608291</v>
      </c>
      <c r="G144" s="677">
        <v>1.6E-2</v>
      </c>
      <c r="H144" s="259">
        <f t="shared" si="20"/>
        <v>0.59259259259259256</v>
      </c>
      <c r="I144" s="496">
        <v>1020</v>
      </c>
      <c r="J144" s="497">
        <v>943</v>
      </c>
      <c r="K144" s="262">
        <f t="shared" si="31"/>
        <v>-7.5499999999999998E-2</v>
      </c>
      <c r="L144" s="263">
        <f t="shared" ref="L144" si="33">IF(K144&lt;=$K$10-0.2,3,IF(K144&lt;=$K$10-0.15,2.5,IF(K144&lt;=$K$10-0.1,2,IF(K144&lt;=$K$10-0.05,1.5,IF(K144&lt;=$K$10,1,IF(K144&lt;=$K$10+0.05,0.5,0))))))</f>
        <v>2</v>
      </c>
      <c r="M144" s="257">
        <f t="shared" ref="M144" si="34">($K$10-K144)/$K$10</f>
        <v>2.6271551724137931</v>
      </c>
      <c r="N144" s="264">
        <f t="shared" si="32"/>
        <v>3.6894391534014028</v>
      </c>
      <c r="O144" s="185">
        <v>0</v>
      </c>
      <c r="P144" s="265">
        <f t="shared" si="30"/>
        <v>0</v>
      </c>
      <c r="Q144" s="266">
        <f t="shared" si="24"/>
        <v>3.69</v>
      </c>
      <c r="R144" s="275">
        <f t="shared" si="25"/>
        <v>0</v>
      </c>
      <c r="S144" s="270">
        <f t="shared" si="26"/>
        <v>0</v>
      </c>
      <c r="T144" s="269" t="str">
        <f t="shared" si="28"/>
        <v xml:space="preserve"> </v>
      </c>
      <c r="U144" s="270">
        <f t="shared" si="27"/>
        <v>0</v>
      </c>
      <c r="V144" s="671" t="s">
        <v>1110</v>
      </c>
    </row>
    <row r="145" spans="1:22" ht="15.5" hidden="1" x14ac:dyDescent="0.35">
      <c r="A145" s="272"/>
      <c r="B145" s="254" t="s">
        <v>169</v>
      </c>
      <c r="C145" s="255">
        <v>7.0000000000000007E-2</v>
      </c>
      <c r="D145" s="256">
        <f t="shared" si="18"/>
        <v>0.63636363636363646</v>
      </c>
      <c r="E145" s="173">
        <v>72734</v>
      </c>
      <c r="F145" s="257">
        <f t="shared" si="19"/>
        <v>0.93836445128825585</v>
      </c>
      <c r="G145" s="277">
        <v>3.5999999999999997E-2</v>
      </c>
      <c r="H145" s="278">
        <f t="shared" si="20"/>
        <v>1.3333333333333333</v>
      </c>
      <c r="I145" s="273">
        <v>273</v>
      </c>
      <c r="J145" s="274">
        <v>282</v>
      </c>
      <c r="K145" s="262">
        <f t="shared" si="31"/>
        <v>3.3000000000000002E-2</v>
      </c>
      <c r="L145" s="263">
        <f t="shared" si="21"/>
        <v>1</v>
      </c>
      <c r="M145" s="257">
        <f t="shared" si="22"/>
        <v>0.2887931034482758</v>
      </c>
      <c r="N145" s="264">
        <f t="shared" si="32"/>
        <v>3.9080614209852254</v>
      </c>
      <c r="O145" s="177">
        <v>986</v>
      </c>
      <c r="P145" s="265">
        <f t="shared" ref="P145:P175" si="35">ROUND(O145/E145,4)</f>
        <v>1.3599999999999999E-2</v>
      </c>
      <c r="Q145" s="266">
        <f t="shared" si="24"/>
        <v>5.27</v>
      </c>
      <c r="R145" s="267">
        <f t="shared" si="25"/>
        <v>0</v>
      </c>
      <c r="S145" s="268">
        <f t="shared" si="26"/>
        <v>0</v>
      </c>
      <c r="T145" s="269" t="str">
        <f t="shared" si="28"/>
        <v xml:space="preserve"> </v>
      </c>
      <c r="U145" s="270">
        <f t="shared" si="27"/>
        <v>0</v>
      </c>
    </row>
    <row r="146" spans="1:22" ht="15.5" x14ac:dyDescent="0.35">
      <c r="A146" s="272"/>
      <c r="B146" s="254" t="s">
        <v>170</v>
      </c>
      <c r="C146" s="255">
        <v>4.8000000000000001E-2</v>
      </c>
      <c r="D146" s="256">
        <f t="shared" si="18"/>
        <v>0.4363636363636364</v>
      </c>
      <c r="E146" s="173">
        <v>74286</v>
      </c>
      <c r="F146" s="257">
        <f t="shared" si="19"/>
        <v>0.91875992784643135</v>
      </c>
      <c r="G146" s="670">
        <v>2.1999999999999999E-2</v>
      </c>
      <c r="H146" s="259">
        <f t="shared" si="20"/>
        <v>0.81481481481481477</v>
      </c>
      <c r="I146" s="273">
        <v>7243</v>
      </c>
      <c r="J146" s="274">
        <v>7670</v>
      </c>
      <c r="K146" s="262">
        <f t="shared" si="31"/>
        <v>5.8999999999999997E-2</v>
      </c>
      <c r="L146" s="263">
        <f t="shared" si="21"/>
        <v>0.5</v>
      </c>
      <c r="M146" s="257">
        <f t="shared" si="22"/>
        <v>-0.27155172413793105</v>
      </c>
      <c r="N146" s="264">
        <f t="shared" si="32"/>
        <v>2.6699383790248827</v>
      </c>
      <c r="O146" s="468">
        <v>680</v>
      </c>
      <c r="P146" s="265">
        <f t="shared" si="35"/>
        <v>9.1999999999999998E-3</v>
      </c>
      <c r="Q146" s="266">
        <f t="shared" si="24"/>
        <v>3.59</v>
      </c>
      <c r="R146" s="275">
        <f t="shared" si="25"/>
        <v>0</v>
      </c>
      <c r="S146" s="270">
        <f t="shared" si="26"/>
        <v>0</v>
      </c>
      <c r="T146" s="269" t="str">
        <f t="shared" si="28"/>
        <v xml:space="preserve"> </v>
      </c>
      <c r="U146" s="270">
        <f t="shared" si="27"/>
        <v>0</v>
      </c>
    </row>
    <row r="147" spans="1:22" ht="15.5" x14ac:dyDescent="0.35">
      <c r="A147" s="272"/>
      <c r="B147" s="254" t="s">
        <v>171</v>
      </c>
      <c r="C147" s="255">
        <v>5.1999999999999998E-2</v>
      </c>
      <c r="D147" s="256">
        <f t="shared" ref="D147:D175" si="36">C147/$C$10</f>
        <v>0.47272727272727272</v>
      </c>
      <c r="E147" s="173">
        <v>73899</v>
      </c>
      <c r="F147" s="257">
        <f t="shared" ref="F147:F175" si="37">$E$10/E147</f>
        <v>0.92357136091151437</v>
      </c>
      <c r="G147" s="670">
        <v>2.1000000000000001E-2</v>
      </c>
      <c r="H147" s="259">
        <f t="shared" ref="H147:H175" si="38">G147/$G$10</f>
        <v>0.77777777777777779</v>
      </c>
      <c r="I147" s="273">
        <v>25100</v>
      </c>
      <c r="J147" s="274">
        <v>27026</v>
      </c>
      <c r="K147" s="262">
        <f t="shared" si="31"/>
        <v>7.6700000000000004E-2</v>
      </c>
      <c r="L147" s="263">
        <f t="shared" ref="L147:L175" si="39">IF(K147&lt;=$K$10-0.2,3,IF(K147&lt;=$K$10-0.15,2.5,IF(K147&lt;=$K$10-0.1,2,IF(K147&lt;=$K$10-0.05,1.5,IF(K147&lt;=$K$10,1,IF(K147&lt;=$K$10+0.05,0.5,0))))))</f>
        <v>0.5</v>
      </c>
      <c r="M147" s="257">
        <f t="shared" ref="M147:M175" si="40">($K$10-K147)/$K$10</f>
        <v>-0.6530172413793105</v>
      </c>
      <c r="N147" s="264">
        <f t="shared" si="32"/>
        <v>2.6740764114165647</v>
      </c>
      <c r="O147" s="174">
        <v>373</v>
      </c>
      <c r="P147" s="265">
        <f t="shared" si="35"/>
        <v>5.0000000000000001E-3</v>
      </c>
      <c r="Q147" s="266">
        <f t="shared" si="24"/>
        <v>3.17</v>
      </c>
      <c r="R147" s="275">
        <f t="shared" si="25"/>
        <v>0</v>
      </c>
      <c r="S147" s="270">
        <f t="shared" si="26"/>
        <v>0</v>
      </c>
      <c r="T147" s="269" t="str">
        <f t="shared" si="28"/>
        <v xml:space="preserve"> </v>
      </c>
      <c r="U147" s="270">
        <f t="shared" si="27"/>
        <v>0</v>
      </c>
    </row>
    <row r="148" spans="1:22" ht="15.5" x14ac:dyDescent="0.35">
      <c r="A148" s="272"/>
      <c r="B148" s="254" t="s">
        <v>172</v>
      </c>
      <c r="C148" s="255">
        <v>0.14099999999999999</v>
      </c>
      <c r="D148" s="256">
        <f t="shared" si="36"/>
        <v>1.2818181818181817</v>
      </c>
      <c r="E148" s="173">
        <v>29964</v>
      </c>
      <c r="F148" s="257">
        <f t="shared" si="37"/>
        <v>2.2777666533173142</v>
      </c>
      <c r="G148" s="670">
        <v>6.8000000000000005E-2</v>
      </c>
      <c r="H148" s="259">
        <f t="shared" si="38"/>
        <v>2.5185185185185186</v>
      </c>
      <c r="I148" s="273">
        <v>1767</v>
      </c>
      <c r="J148" s="274">
        <v>1814</v>
      </c>
      <c r="K148" s="262">
        <f t="shared" si="31"/>
        <v>2.6599999999999999E-2</v>
      </c>
      <c r="L148" s="263">
        <f t="shared" si="39"/>
        <v>1</v>
      </c>
      <c r="M148" s="257">
        <f t="shared" si="40"/>
        <v>0.42672413793103448</v>
      </c>
      <c r="N148" s="264">
        <f t="shared" si="32"/>
        <v>7.078103353654015</v>
      </c>
      <c r="O148" s="468">
        <v>892</v>
      </c>
      <c r="P148" s="265">
        <f t="shared" si="35"/>
        <v>2.98E-2</v>
      </c>
      <c r="Q148" s="266">
        <f t="shared" si="24"/>
        <v>10.06</v>
      </c>
      <c r="R148" s="267">
        <f t="shared" si="25"/>
        <v>1</v>
      </c>
      <c r="S148" s="268">
        <f t="shared" si="26"/>
        <v>1</v>
      </c>
      <c r="T148" s="269">
        <f t="shared" si="28"/>
        <v>1</v>
      </c>
      <c r="U148" s="268">
        <f t="shared" si="27"/>
        <v>1</v>
      </c>
      <c r="V148" s="209" t="s">
        <v>307</v>
      </c>
    </row>
    <row r="149" spans="1:22" ht="15.5" x14ac:dyDescent="0.35">
      <c r="A149" s="272"/>
      <c r="B149" s="254" t="s">
        <v>173</v>
      </c>
      <c r="C149" s="255">
        <v>0.13500000000000001</v>
      </c>
      <c r="D149" s="256">
        <f t="shared" si="36"/>
        <v>1.2272727272727273</v>
      </c>
      <c r="E149" s="173">
        <v>68083</v>
      </c>
      <c r="F149" s="257">
        <f t="shared" si="37"/>
        <v>1.002467576340643</v>
      </c>
      <c r="G149" s="277">
        <v>0.01</v>
      </c>
      <c r="H149" s="278">
        <f t="shared" si="38"/>
        <v>0.37037037037037041</v>
      </c>
      <c r="I149" s="273">
        <v>743</v>
      </c>
      <c r="J149" s="274">
        <v>738</v>
      </c>
      <c r="K149" s="262">
        <f t="shared" si="31"/>
        <v>-6.7000000000000002E-3</v>
      </c>
      <c r="L149" s="263">
        <f t="shared" si="39"/>
        <v>1.5</v>
      </c>
      <c r="M149" s="257">
        <f t="shared" si="40"/>
        <v>1.1443965517241379</v>
      </c>
      <c r="N149" s="264">
        <f t="shared" si="32"/>
        <v>4.1001106739837407</v>
      </c>
      <c r="O149" s="468">
        <v>958</v>
      </c>
      <c r="P149" s="265">
        <f t="shared" si="35"/>
        <v>1.41E-2</v>
      </c>
      <c r="Q149" s="266">
        <f t="shared" ref="Q149:Q175" si="41">ROUND(N149+(P149*100),2)</f>
        <v>5.51</v>
      </c>
      <c r="R149" s="275">
        <f t="shared" ref="R149:R175" si="42">ROUND(IF($Q149&gt;=10,1,IF($Q149&gt;=8.75,0.75,IF($Q149&gt;=7.5,0.5,IF($Q149&gt;=6.25,0.25,0)))),4)</f>
        <v>0</v>
      </c>
      <c r="S149" s="270">
        <f t="shared" ref="S149:S175" si="43">ROUND(IF($Q149&gt;=10,1,IF($Q149&gt;=6.25,$Q149*$Q149/100,0)),4)</f>
        <v>0</v>
      </c>
      <c r="T149" s="269" t="str">
        <f t="shared" si="28"/>
        <v xml:space="preserve"> </v>
      </c>
      <c r="U149" s="270">
        <f t="shared" ref="U149:U175" si="44">ROUND(IF($Q149&gt;=10,1,IF($Q149&gt;=7.5,$Q149*$Q149/100,0)),4)</f>
        <v>0</v>
      </c>
      <c r="V149" s="671" t="s">
        <v>1034</v>
      </c>
    </row>
    <row r="150" spans="1:22" ht="15.5" x14ac:dyDescent="0.35">
      <c r="A150" s="272">
        <v>3</v>
      </c>
      <c r="B150" s="254" t="s">
        <v>174</v>
      </c>
      <c r="C150" s="255">
        <v>0.13400000000000001</v>
      </c>
      <c r="D150" s="256">
        <f t="shared" si="36"/>
        <v>1.2181818181818183</v>
      </c>
      <c r="E150" s="173">
        <v>63359</v>
      </c>
      <c r="F150" s="257">
        <f t="shared" si="37"/>
        <v>1.0772108145646238</v>
      </c>
      <c r="G150" s="670">
        <v>7.8E-2</v>
      </c>
      <c r="H150" s="259">
        <f t="shared" si="38"/>
        <v>2.8888888888888888</v>
      </c>
      <c r="I150" s="273">
        <v>1039</v>
      </c>
      <c r="J150" s="274">
        <v>1063</v>
      </c>
      <c r="K150" s="262">
        <f t="shared" si="31"/>
        <v>2.3099999999999999E-2</v>
      </c>
      <c r="L150" s="263">
        <f t="shared" si="39"/>
        <v>1</v>
      </c>
      <c r="M150" s="257">
        <f t="shared" si="40"/>
        <v>0.50215517241379304</v>
      </c>
      <c r="N150" s="264">
        <f t="shared" si="32"/>
        <v>6.1842815216353308</v>
      </c>
      <c r="O150" s="468">
        <v>1846</v>
      </c>
      <c r="P150" s="265">
        <f t="shared" si="35"/>
        <v>2.9100000000000001E-2</v>
      </c>
      <c r="Q150" s="266">
        <f t="shared" si="41"/>
        <v>9.09</v>
      </c>
      <c r="R150" s="267">
        <f t="shared" si="42"/>
        <v>0.75</v>
      </c>
      <c r="S150" s="268">
        <f t="shared" si="43"/>
        <v>0.82630000000000003</v>
      </c>
      <c r="T150" s="269">
        <f t="shared" ref="T150:T175" si="45">IF($Q150&lt;7," ",ROUND(IF($Q150&gt;=10,1,IF($Q150&gt;=7,$Q150*$Q150/100,)),4))</f>
        <v>0.82630000000000003</v>
      </c>
      <c r="U150" s="270">
        <f t="shared" si="44"/>
        <v>0.82630000000000003</v>
      </c>
      <c r="V150" s="671" t="s">
        <v>1107</v>
      </c>
    </row>
    <row r="151" spans="1:22" ht="15.5" hidden="1" x14ac:dyDescent="0.35">
      <c r="A151" s="272"/>
      <c r="B151" s="254" t="s">
        <v>175</v>
      </c>
      <c r="C151" s="255">
        <v>1.18</v>
      </c>
      <c r="D151" s="256">
        <f t="shared" si="36"/>
        <v>10.727272727272727</v>
      </c>
      <c r="E151" s="173">
        <v>63360</v>
      </c>
      <c r="F151" s="257">
        <f t="shared" si="37"/>
        <v>1.0771938131313132</v>
      </c>
      <c r="G151" s="258">
        <v>1.0389999999999999</v>
      </c>
      <c r="H151" s="259">
        <f t="shared" si="38"/>
        <v>38.481481481481481</v>
      </c>
      <c r="I151" s="273">
        <v>1043</v>
      </c>
      <c r="J151" s="274">
        <v>1056</v>
      </c>
      <c r="K151" s="262">
        <f t="shared" si="31"/>
        <v>1.2500000000000001E-2</v>
      </c>
      <c r="L151" s="263">
        <f t="shared" si="39"/>
        <v>1</v>
      </c>
      <c r="M151" s="257">
        <f t="shared" si="40"/>
        <v>0.7306034482758621</v>
      </c>
      <c r="N151" s="264">
        <f t="shared" si="32"/>
        <v>51.285948021885517</v>
      </c>
      <c r="O151" s="176">
        <v>1392</v>
      </c>
      <c r="P151" s="265">
        <f t="shared" si="35"/>
        <v>2.1999999999999999E-2</v>
      </c>
      <c r="Q151" s="266">
        <f t="shared" si="41"/>
        <v>53.49</v>
      </c>
      <c r="R151" s="267">
        <f t="shared" si="42"/>
        <v>1</v>
      </c>
      <c r="S151" s="268">
        <f t="shared" si="43"/>
        <v>1</v>
      </c>
      <c r="T151" s="269">
        <f t="shared" si="45"/>
        <v>1</v>
      </c>
      <c r="U151" s="270">
        <f t="shared" si="44"/>
        <v>1</v>
      </c>
      <c r="V151" s="209" t="s">
        <v>308</v>
      </c>
    </row>
    <row r="152" spans="1:22" ht="15.5" hidden="1" x14ac:dyDescent="0.35">
      <c r="A152" s="272"/>
      <c r="B152" s="254" t="s">
        <v>176</v>
      </c>
      <c r="C152" s="255">
        <v>2.1800000000000002</v>
      </c>
      <c r="D152" s="256">
        <f t="shared" si="36"/>
        <v>19.81818181818182</v>
      </c>
      <c r="E152" s="173">
        <v>63361</v>
      </c>
      <c r="F152" s="257">
        <f t="shared" si="37"/>
        <v>1.0771768122346554</v>
      </c>
      <c r="G152" s="258">
        <v>2.0390000000000001</v>
      </c>
      <c r="H152" s="259">
        <f t="shared" si="38"/>
        <v>75.518518518518519</v>
      </c>
      <c r="I152" s="273">
        <v>1043</v>
      </c>
      <c r="J152" s="274">
        <v>1056</v>
      </c>
      <c r="K152" s="262">
        <f t="shared" si="31"/>
        <v>1.2500000000000001E-2</v>
      </c>
      <c r="L152" s="263">
        <f t="shared" si="39"/>
        <v>1</v>
      </c>
      <c r="M152" s="257">
        <f t="shared" si="40"/>
        <v>0.7306034482758621</v>
      </c>
      <c r="N152" s="264">
        <f t="shared" si="32"/>
        <v>97.413877148935001</v>
      </c>
      <c r="O152" s="176">
        <v>1393</v>
      </c>
      <c r="P152" s="265">
        <f t="shared" si="35"/>
        <v>2.1999999999999999E-2</v>
      </c>
      <c r="Q152" s="266">
        <f t="shared" si="41"/>
        <v>99.61</v>
      </c>
      <c r="R152" s="267">
        <f t="shared" si="42"/>
        <v>1</v>
      </c>
      <c r="S152" s="268">
        <f t="shared" si="43"/>
        <v>1</v>
      </c>
      <c r="T152" s="269">
        <f t="shared" si="45"/>
        <v>1</v>
      </c>
      <c r="U152" s="270">
        <f t="shared" si="44"/>
        <v>1</v>
      </c>
      <c r="V152" s="209" t="s">
        <v>309</v>
      </c>
    </row>
    <row r="153" spans="1:22" ht="15.5" hidden="1" x14ac:dyDescent="0.35">
      <c r="A153" s="272"/>
      <c r="B153" s="254" t="s">
        <v>387</v>
      </c>
      <c r="C153" s="255">
        <v>0</v>
      </c>
      <c r="D153" s="256">
        <f t="shared" si="36"/>
        <v>0</v>
      </c>
      <c r="E153" s="173">
        <v>56641</v>
      </c>
      <c r="F153" s="257">
        <f t="shared" si="37"/>
        <v>1.2049751946469871</v>
      </c>
      <c r="G153" s="258">
        <v>2.9000000000000001E-2</v>
      </c>
      <c r="H153" s="259">
        <f t="shared" si="38"/>
        <v>1.0740740740740742</v>
      </c>
      <c r="I153" s="273">
        <v>5716</v>
      </c>
      <c r="J153" s="274">
        <v>5905</v>
      </c>
      <c r="K153" s="262">
        <f t="shared" si="31"/>
        <v>3.3099999999999997E-2</v>
      </c>
      <c r="L153" s="263">
        <f t="shared" si="39"/>
        <v>1</v>
      </c>
      <c r="M153" s="257">
        <f t="shared" si="40"/>
        <v>0.28663793103448276</v>
      </c>
      <c r="N153" s="264">
        <f t="shared" si="32"/>
        <v>3.2790492687210611</v>
      </c>
      <c r="O153" s="177">
        <v>741</v>
      </c>
      <c r="P153" s="265">
        <f t="shared" si="35"/>
        <v>1.3100000000000001E-2</v>
      </c>
      <c r="Q153" s="266">
        <f t="shared" si="41"/>
        <v>4.59</v>
      </c>
      <c r="R153" s="267">
        <f t="shared" si="42"/>
        <v>0</v>
      </c>
      <c r="S153" s="268">
        <f t="shared" si="43"/>
        <v>0</v>
      </c>
      <c r="T153" s="269" t="str">
        <f t="shared" si="45"/>
        <v xml:space="preserve"> </v>
      </c>
      <c r="U153" s="270">
        <f t="shared" si="44"/>
        <v>0</v>
      </c>
    </row>
    <row r="154" spans="1:22" ht="15.5" hidden="1" x14ac:dyDescent="0.35">
      <c r="A154" s="272"/>
      <c r="B154" s="254" t="s">
        <v>177</v>
      </c>
      <c r="C154" s="255">
        <v>0.46899999999999997</v>
      </c>
      <c r="D154" s="256">
        <f t="shared" si="36"/>
        <v>4.2636363636363637</v>
      </c>
      <c r="E154" s="173">
        <v>18229</v>
      </c>
      <c r="F154" s="257">
        <f t="shared" si="37"/>
        <v>3.7440890888145262</v>
      </c>
      <c r="G154" s="258">
        <v>6.0999999999999999E-2</v>
      </c>
      <c r="H154" s="259">
        <f t="shared" si="38"/>
        <v>2.2592592592592591</v>
      </c>
      <c r="I154" s="273">
        <v>2133</v>
      </c>
      <c r="J154" s="274">
        <v>2096</v>
      </c>
      <c r="K154" s="262">
        <f t="shared" si="31"/>
        <v>-1.7299999999999999E-2</v>
      </c>
      <c r="L154" s="263">
        <f t="shared" si="39"/>
        <v>1.5</v>
      </c>
      <c r="M154" s="257">
        <f t="shared" si="40"/>
        <v>1.3728448275862069</v>
      </c>
      <c r="N154" s="264">
        <f t="shared" si="32"/>
        <v>11.766984711710149</v>
      </c>
      <c r="O154" s="179">
        <v>175</v>
      </c>
      <c r="P154" s="265">
        <f t="shared" si="35"/>
        <v>9.5999999999999992E-3</v>
      </c>
      <c r="Q154" s="266">
        <f t="shared" si="41"/>
        <v>12.73</v>
      </c>
      <c r="R154" s="267">
        <f t="shared" si="42"/>
        <v>1</v>
      </c>
      <c r="S154" s="268">
        <f t="shared" si="43"/>
        <v>1</v>
      </c>
      <c r="T154" s="269">
        <f t="shared" si="45"/>
        <v>1</v>
      </c>
      <c r="U154" s="270">
        <f t="shared" si="44"/>
        <v>1</v>
      </c>
      <c r="V154" s="209" t="s">
        <v>310</v>
      </c>
    </row>
    <row r="155" spans="1:22" ht="15.5" hidden="1" x14ac:dyDescent="0.35">
      <c r="A155" s="272"/>
      <c r="B155" s="254" t="s">
        <v>178</v>
      </c>
      <c r="C155" s="255">
        <v>0.34899999999999998</v>
      </c>
      <c r="D155" s="256">
        <f t="shared" si="36"/>
        <v>3.1727272727272724</v>
      </c>
      <c r="E155" s="173">
        <v>27917</v>
      </c>
      <c r="F155" s="257">
        <f t="shared" si="37"/>
        <v>2.4447827488627003</v>
      </c>
      <c r="G155" s="258">
        <v>1.4E-2</v>
      </c>
      <c r="H155" s="259">
        <f t="shared" si="38"/>
        <v>0.51851851851851849</v>
      </c>
      <c r="I155" s="273">
        <v>1999</v>
      </c>
      <c r="J155" s="274">
        <v>2214</v>
      </c>
      <c r="K155" s="262">
        <f t="shared" si="31"/>
        <v>0.1076</v>
      </c>
      <c r="L155" s="263">
        <f t="shared" si="39"/>
        <v>0</v>
      </c>
      <c r="M155" s="257">
        <f t="shared" si="40"/>
        <v>-1.3189655172413794</v>
      </c>
      <c r="N155" s="264">
        <f t="shared" si="32"/>
        <v>6.1360285401084909</v>
      </c>
      <c r="O155" s="175">
        <v>407</v>
      </c>
      <c r="P155" s="265">
        <f t="shared" si="35"/>
        <v>1.46E-2</v>
      </c>
      <c r="Q155" s="266">
        <f t="shared" si="41"/>
        <v>7.6</v>
      </c>
      <c r="R155" s="267">
        <f t="shared" si="42"/>
        <v>0.5</v>
      </c>
      <c r="S155" s="268">
        <f t="shared" si="43"/>
        <v>0.5776</v>
      </c>
      <c r="T155" s="269">
        <f t="shared" si="45"/>
        <v>0.5776</v>
      </c>
      <c r="U155" s="268">
        <f t="shared" si="44"/>
        <v>0.5776</v>
      </c>
      <c r="V155" s="209" t="s">
        <v>311</v>
      </c>
    </row>
    <row r="156" spans="1:22" ht="15.5" x14ac:dyDescent="0.35">
      <c r="A156" s="272"/>
      <c r="B156" s="254" t="s">
        <v>312</v>
      </c>
      <c r="C156" s="255">
        <v>5.5E-2</v>
      </c>
      <c r="D156" s="256">
        <f t="shared" si="36"/>
        <v>0.5</v>
      </c>
      <c r="E156" s="173">
        <v>70958</v>
      </c>
      <c r="F156" s="257">
        <f t="shared" si="37"/>
        <v>0.96185067222864229</v>
      </c>
      <c r="G156" s="670">
        <v>3.5999999999999997E-2</v>
      </c>
      <c r="H156" s="259">
        <f t="shared" si="38"/>
        <v>1.3333333333333333</v>
      </c>
      <c r="I156" s="273">
        <v>4372</v>
      </c>
      <c r="J156" s="274">
        <v>4577</v>
      </c>
      <c r="K156" s="262">
        <f t="shared" si="31"/>
        <v>4.6899999999999997E-2</v>
      </c>
      <c r="L156" s="263">
        <f t="shared" si="39"/>
        <v>0.5</v>
      </c>
      <c r="M156" s="257">
        <f t="shared" si="40"/>
        <v>-1.0775862068965528E-2</v>
      </c>
      <c r="N156" s="264">
        <f t="shared" si="32"/>
        <v>3.2951840055619757</v>
      </c>
      <c r="O156" s="178">
        <v>2501</v>
      </c>
      <c r="P156" s="265">
        <f t="shared" si="35"/>
        <v>3.5200000000000002E-2</v>
      </c>
      <c r="Q156" s="266">
        <f t="shared" si="41"/>
        <v>6.82</v>
      </c>
      <c r="R156" s="275">
        <f t="shared" si="42"/>
        <v>0.25</v>
      </c>
      <c r="S156" s="270">
        <f t="shared" si="43"/>
        <v>0.46510000000000001</v>
      </c>
      <c r="T156" s="269" t="str">
        <f t="shared" si="45"/>
        <v xml:space="preserve"> </v>
      </c>
      <c r="U156" s="270">
        <f t="shared" si="44"/>
        <v>0</v>
      </c>
      <c r="V156" s="209" t="s">
        <v>243</v>
      </c>
    </row>
    <row r="157" spans="1:22" ht="15.5" hidden="1" x14ac:dyDescent="0.35">
      <c r="A157" s="272"/>
      <c r="B157" s="254" t="s">
        <v>179</v>
      </c>
      <c r="C157" s="255">
        <v>0.14400000000000002</v>
      </c>
      <c r="D157" s="256">
        <f t="shared" si="36"/>
        <v>1.3090909090909093</v>
      </c>
      <c r="E157" s="173">
        <v>51346</v>
      </c>
      <c r="F157" s="257">
        <f t="shared" si="37"/>
        <v>1.3292369415339071</v>
      </c>
      <c r="G157" s="258">
        <v>0.02</v>
      </c>
      <c r="H157" s="259">
        <f t="shared" si="38"/>
        <v>0.74074074074074081</v>
      </c>
      <c r="I157" s="273">
        <v>1919</v>
      </c>
      <c r="J157" s="274">
        <v>1814</v>
      </c>
      <c r="K157" s="262">
        <f t="shared" si="31"/>
        <v>-5.4699999999999999E-2</v>
      </c>
      <c r="L157" s="263">
        <f t="shared" si="39"/>
        <v>2</v>
      </c>
      <c r="M157" s="257">
        <f t="shared" si="40"/>
        <v>2.1788793103448278</v>
      </c>
      <c r="N157" s="264">
        <f t="shared" si="32"/>
        <v>5.3790685913655576</v>
      </c>
      <c r="O157" s="176">
        <v>790</v>
      </c>
      <c r="P157" s="265">
        <f t="shared" si="35"/>
        <v>1.54E-2</v>
      </c>
      <c r="Q157" s="266">
        <f t="shared" si="41"/>
        <v>6.92</v>
      </c>
      <c r="R157" s="275">
        <f t="shared" si="42"/>
        <v>0.25</v>
      </c>
      <c r="S157" s="270">
        <f t="shared" si="43"/>
        <v>0.47889999999999999</v>
      </c>
      <c r="T157" s="269" t="str">
        <f t="shared" si="45"/>
        <v xml:space="preserve"> </v>
      </c>
      <c r="U157" s="270">
        <f t="shared" si="44"/>
        <v>0</v>
      </c>
    </row>
    <row r="158" spans="1:22" ht="15.5" hidden="1" x14ac:dyDescent="0.35">
      <c r="A158" s="272"/>
      <c r="B158" s="254" t="s">
        <v>180</v>
      </c>
      <c r="C158" s="255">
        <v>6.2E-2</v>
      </c>
      <c r="D158" s="256">
        <f t="shared" si="36"/>
        <v>0.5636363636363636</v>
      </c>
      <c r="E158" s="173">
        <v>63750</v>
      </c>
      <c r="F158" s="257">
        <f t="shared" si="37"/>
        <v>1.0706039215686274</v>
      </c>
      <c r="G158" s="277">
        <v>8.0000000000000002E-3</v>
      </c>
      <c r="H158" s="278">
        <f t="shared" si="38"/>
        <v>0.29629629629629628</v>
      </c>
      <c r="I158" s="273">
        <v>553</v>
      </c>
      <c r="J158" s="274">
        <v>546</v>
      </c>
      <c r="K158" s="262">
        <f t="shared" si="31"/>
        <v>-1.2699999999999999E-2</v>
      </c>
      <c r="L158" s="263">
        <f t="shared" si="39"/>
        <v>1.5</v>
      </c>
      <c r="M158" s="257">
        <f t="shared" si="40"/>
        <v>1.2737068965517242</v>
      </c>
      <c r="N158" s="264">
        <f t="shared" si="32"/>
        <v>3.4305365815012872</v>
      </c>
      <c r="O158" s="181">
        <v>1507</v>
      </c>
      <c r="P158" s="265">
        <f t="shared" si="35"/>
        <v>2.3599999999999999E-2</v>
      </c>
      <c r="Q158" s="266">
        <f t="shared" si="41"/>
        <v>5.79</v>
      </c>
      <c r="R158" s="275">
        <f t="shared" si="42"/>
        <v>0</v>
      </c>
      <c r="S158" s="270">
        <f t="shared" si="43"/>
        <v>0</v>
      </c>
      <c r="T158" s="269" t="str">
        <f t="shared" si="45"/>
        <v xml:space="preserve"> </v>
      </c>
      <c r="U158" s="270">
        <f t="shared" si="44"/>
        <v>0</v>
      </c>
    </row>
    <row r="159" spans="1:22" ht="15.5" x14ac:dyDescent="0.35">
      <c r="A159" s="272"/>
      <c r="B159" s="254" t="s">
        <v>181</v>
      </c>
      <c r="C159" s="255">
        <v>6.9000000000000006E-2</v>
      </c>
      <c r="D159" s="256">
        <f t="shared" si="36"/>
        <v>0.62727272727272732</v>
      </c>
      <c r="E159" s="173">
        <v>73269</v>
      </c>
      <c r="F159" s="257">
        <f t="shared" si="37"/>
        <v>0.93151264518418431</v>
      </c>
      <c r="G159" s="277">
        <v>1.4E-2</v>
      </c>
      <c r="H159" s="278">
        <f t="shared" si="38"/>
        <v>0.51851851851851849</v>
      </c>
      <c r="I159" s="273">
        <v>1152</v>
      </c>
      <c r="J159" s="274">
        <v>1292</v>
      </c>
      <c r="K159" s="262">
        <f t="shared" si="31"/>
        <v>0.1215</v>
      </c>
      <c r="L159" s="263">
        <f t="shared" si="39"/>
        <v>0</v>
      </c>
      <c r="M159" s="257">
        <f t="shared" si="40"/>
        <v>-1.6185344827586208</v>
      </c>
      <c r="N159" s="264">
        <f t="shared" si="32"/>
        <v>2.07730389097543</v>
      </c>
      <c r="O159" s="476">
        <v>1055</v>
      </c>
      <c r="P159" s="265">
        <f t="shared" si="35"/>
        <v>1.44E-2</v>
      </c>
      <c r="Q159" s="266">
        <f t="shared" si="41"/>
        <v>3.52</v>
      </c>
      <c r="R159" s="275">
        <f t="shared" si="42"/>
        <v>0</v>
      </c>
      <c r="S159" s="270">
        <f t="shared" si="43"/>
        <v>0</v>
      </c>
      <c r="T159" s="269" t="str">
        <f t="shared" si="45"/>
        <v xml:space="preserve"> </v>
      </c>
      <c r="U159" s="270">
        <f t="shared" si="44"/>
        <v>0</v>
      </c>
      <c r="V159" s="671" t="s">
        <v>1034</v>
      </c>
    </row>
    <row r="160" spans="1:22" ht="15.5" hidden="1" x14ac:dyDescent="0.35">
      <c r="A160" s="272"/>
      <c r="B160" s="254" t="s">
        <v>182</v>
      </c>
      <c r="C160" s="255">
        <v>0.38800000000000001</v>
      </c>
      <c r="D160" s="256">
        <f t="shared" si="36"/>
        <v>3.5272727272727273</v>
      </c>
      <c r="E160" s="173">
        <v>16932</v>
      </c>
      <c r="F160" s="257">
        <f t="shared" si="37"/>
        <v>4.0308882589180248</v>
      </c>
      <c r="G160" s="258">
        <v>0</v>
      </c>
      <c r="H160" s="259">
        <f t="shared" si="38"/>
        <v>0</v>
      </c>
      <c r="I160" s="273">
        <v>5069</v>
      </c>
      <c r="J160" s="274">
        <v>5098</v>
      </c>
      <c r="K160" s="262">
        <f t="shared" si="31"/>
        <v>5.7000000000000002E-3</v>
      </c>
      <c r="L160" s="263">
        <f t="shared" si="39"/>
        <v>1</v>
      </c>
      <c r="M160" s="257">
        <f t="shared" si="40"/>
        <v>0.87715517241379315</v>
      </c>
      <c r="N160" s="264">
        <f t="shared" si="32"/>
        <v>8.5581609861907531</v>
      </c>
      <c r="O160" s="174">
        <v>668</v>
      </c>
      <c r="P160" s="265">
        <f t="shared" si="35"/>
        <v>3.95E-2</v>
      </c>
      <c r="Q160" s="266">
        <f t="shared" si="41"/>
        <v>12.51</v>
      </c>
      <c r="R160" s="267">
        <f t="shared" si="42"/>
        <v>1</v>
      </c>
      <c r="S160" s="268">
        <f t="shared" si="43"/>
        <v>1</v>
      </c>
      <c r="T160" s="269">
        <f t="shared" si="45"/>
        <v>1</v>
      </c>
      <c r="U160" s="268">
        <f t="shared" si="44"/>
        <v>1</v>
      </c>
      <c r="V160" s="209" t="s">
        <v>313</v>
      </c>
    </row>
    <row r="161" spans="1:22" ht="15.5" hidden="1" x14ac:dyDescent="0.35">
      <c r="A161" s="272"/>
      <c r="B161" s="254" t="s">
        <v>183</v>
      </c>
      <c r="C161" s="255">
        <v>0.16600000000000001</v>
      </c>
      <c r="D161" s="256">
        <f t="shared" si="36"/>
        <v>1.5090909090909093</v>
      </c>
      <c r="E161" s="173">
        <v>67680</v>
      </c>
      <c r="F161" s="257">
        <f t="shared" si="37"/>
        <v>1.0084367612293144</v>
      </c>
      <c r="G161" s="277">
        <v>8.9999999999999993E-3</v>
      </c>
      <c r="H161" s="278">
        <f t="shared" si="38"/>
        <v>0.33333333333333331</v>
      </c>
      <c r="I161" s="273">
        <v>4844</v>
      </c>
      <c r="J161" s="274">
        <v>4714</v>
      </c>
      <c r="K161" s="262">
        <f t="shared" si="31"/>
        <v>-2.6800000000000001E-2</v>
      </c>
      <c r="L161" s="263">
        <f t="shared" si="39"/>
        <v>1.5</v>
      </c>
      <c r="M161" s="257">
        <f t="shared" si="40"/>
        <v>1.5775862068965518</v>
      </c>
      <c r="N161" s="264">
        <f t="shared" si="32"/>
        <v>4.3508610036535575</v>
      </c>
      <c r="O161" s="174">
        <v>248</v>
      </c>
      <c r="P161" s="265">
        <f t="shared" si="35"/>
        <v>3.7000000000000002E-3</v>
      </c>
      <c r="Q161" s="266">
        <f t="shared" si="41"/>
        <v>4.72</v>
      </c>
      <c r="R161" s="275">
        <f t="shared" si="42"/>
        <v>0</v>
      </c>
      <c r="S161" s="270">
        <f t="shared" si="43"/>
        <v>0</v>
      </c>
      <c r="T161" s="269" t="str">
        <f t="shared" si="45"/>
        <v xml:space="preserve"> </v>
      </c>
      <c r="U161" s="270">
        <f t="shared" si="44"/>
        <v>0</v>
      </c>
    </row>
    <row r="162" spans="1:22" ht="15.5" hidden="1" x14ac:dyDescent="0.35">
      <c r="A162" s="272"/>
      <c r="B162" s="254" t="s">
        <v>184</v>
      </c>
      <c r="C162" s="255">
        <v>0.193</v>
      </c>
      <c r="D162" s="256">
        <f t="shared" si="36"/>
        <v>1.7545454545454546</v>
      </c>
      <c r="E162" s="173">
        <v>30625</v>
      </c>
      <c r="F162" s="257">
        <f t="shared" si="37"/>
        <v>2.2286040816326529</v>
      </c>
      <c r="G162" s="258">
        <v>2.1999999999999999E-2</v>
      </c>
      <c r="H162" s="259">
        <f t="shared" si="38"/>
        <v>0.81481481481481477</v>
      </c>
      <c r="I162" s="273">
        <v>1687</v>
      </c>
      <c r="J162" s="274">
        <v>1527</v>
      </c>
      <c r="K162" s="262">
        <f t="shared" si="31"/>
        <v>-9.4799999999999995E-2</v>
      </c>
      <c r="L162" s="263">
        <f t="shared" si="39"/>
        <v>2</v>
      </c>
      <c r="M162" s="257">
        <f t="shared" si="40"/>
        <v>3.0431034482758621</v>
      </c>
      <c r="N162" s="264">
        <f t="shared" si="32"/>
        <v>6.7979643509929222</v>
      </c>
      <c r="O162" s="186">
        <v>799</v>
      </c>
      <c r="P162" s="265">
        <f t="shared" si="35"/>
        <v>2.6100000000000002E-2</v>
      </c>
      <c r="Q162" s="266">
        <f t="shared" si="41"/>
        <v>9.41</v>
      </c>
      <c r="R162" s="275">
        <f t="shared" si="42"/>
        <v>0.75</v>
      </c>
      <c r="S162" s="270">
        <f t="shared" si="43"/>
        <v>0.88549999999999995</v>
      </c>
      <c r="T162" s="269">
        <f t="shared" si="45"/>
        <v>0.88549999999999995</v>
      </c>
      <c r="U162" s="270">
        <f t="shared" si="44"/>
        <v>0.88549999999999995</v>
      </c>
      <c r="V162" s="209" t="s">
        <v>314</v>
      </c>
    </row>
    <row r="163" spans="1:22" ht="15.5" hidden="1" x14ac:dyDescent="0.35">
      <c r="A163" s="272"/>
      <c r="B163" s="254" t="s">
        <v>185</v>
      </c>
      <c r="C163" s="255">
        <v>0.21199999999999999</v>
      </c>
      <c r="D163" s="256">
        <f t="shared" si="36"/>
        <v>1.9272727272727272</v>
      </c>
      <c r="E163" s="173">
        <v>38862</v>
      </c>
      <c r="F163" s="257">
        <f t="shared" si="37"/>
        <v>1.7562400288199269</v>
      </c>
      <c r="G163" s="258">
        <v>2.1999999999999999E-2</v>
      </c>
      <c r="H163" s="259">
        <f t="shared" si="38"/>
        <v>0.81481481481481477</v>
      </c>
      <c r="I163" s="273">
        <v>15722</v>
      </c>
      <c r="J163" s="274">
        <v>15828</v>
      </c>
      <c r="K163" s="262">
        <f t="shared" si="31"/>
        <v>6.7000000000000002E-3</v>
      </c>
      <c r="L163" s="263">
        <f t="shared" si="39"/>
        <v>1</v>
      </c>
      <c r="M163" s="257">
        <f t="shared" si="40"/>
        <v>0.8556034482758621</v>
      </c>
      <c r="N163" s="264">
        <f t="shared" si="32"/>
        <v>5.4983275709074686</v>
      </c>
      <c r="O163" s="175">
        <v>346</v>
      </c>
      <c r="P163" s="265">
        <f t="shared" si="35"/>
        <v>8.8999999999999999E-3</v>
      </c>
      <c r="Q163" s="266">
        <f t="shared" si="41"/>
        <v>6.39</v>
      </c>
      <c r="R163" s="275">
        <f t="shared" si="42"/>
        <v>0.25</v>
      </c>
      <c r="S163" s="270">
        <f t="shared" si="43"/>
        <v>0.4083</v>
      </c>
      <c r="T163" s="269" t="str">
        <f t="shared" si="45"/>
        <v xml:space="preserve"> </v>
      </c>
      <c r="U163" s="270">
        <f t="shared" si="44"/>
        <v>0</v>
      </c>
    </row>
    <row r="164" spans="1:22" ht="15.5" x14ac:dyDescent="0.35">
      <c r="A164" s="272"/>
      <c r="B164" s="254" t="s">
        <v>186</v>
      </c>
      <c r="C164" s="255">
        <v>0.115</v>
      </c>
      <c r="D164" s="256">
        <f t="shared" si="36"/>
        <v>1.0454545454545454</v>
      </c>
      <c r="E164" s="173">
        <v>75705</v>
      </c>
      <c r="F164" s="257">
        <f t="shared" si="37"/>
        <v>0.90153886797437421</v>
      </c>
      <c r="G164" s="670">
        <v>1.9E-2</v>
      </c>
      <c r="H164" s="259">
        <f t="shared" si="38"/>
        <v>0.70370370370370372</v>
      </c>
      <c r="I164" s="273">
        <v>9733</v>
      </c>
      <c r="J164" s="274">
        <v>11731</v>
      </c>
      <c r="K164" s="262">
        <f t="shared" si="31"/>
        <v>0.20530000000000001</v>
      </c>
      <c r="L164" s="263">
        <f t="shared" si="39"/>
        <v>0</v>
      </c>
      <c r="M164" s="257">
        <f t="shared" si="40"/>
        <v>-3.424568965517242</v>
      </c>
      <c r="N164" s="264">
        <f t="shared" si="32"/>
        <v>2.6506971171326232</v>
      </c>
      <c r="O164" s="468">
        <v>522</v>
      </c>
      <c r="P164" s="265">
        <f t="shared" si="35"/>
        <v>6.8999999999999999E-3</v>
      </c>
      <c r="Q164" s="266">
        <f t="shared" si="41"/>
        <v>3.34</v>
      </c>
      <c r="R164" s="275">
        <f t="shared" si="42"/>
        <v>0</v>
      </c>
      <c r="S164" s="270">
        <f t="shared" si="43"/>
        <v>0</v>
      </c>
      <c r="T164" s="269" t="str">
        <f t="shared" si="45"/>
        <v xml:space="preserve"> </v>
      </c>
      <c r="U164" s="270">
        <f t="shared" si="44"/>
        <v>0</v>
      </c>
    </row>
    <row r="165" spans="1:22" ht="15.5" x14ac:dyDescent="0.35">
      <c r="A165" s="272"/>
      <c r="B165" s="254" t="s">
        <v>187</v>
      </c>
      <c r="C165" s="255">
        <v>9.2999999999999999E-2</v>
      </c>
      <c r="D165" s="256">
        <f t="shared" si="36"/>
        <v>0.84545454545454546</v>
      </c>
      <c r="E165" s="173">
        <v>81198</v>
      </c>
      <c r="F165" s="257">
        <f t="shared" si="37"/>
        <v>0.8405502598586172</v>
      </c>
      <c r="G165" s="277">
        <v>2.1000000000000001E-2</v>
      </c>
      <c r="H165" s="278">
        <f t="shared" si="38"/>
        <v>0.77777777777777779</v>
      </c>
      <c r="I165" s="273">
        <v>17626</v>
      </c>
      <c r="J165" s="274">
        <v>20645</v>
      </c>
      <c r="K165" s="262">
        <f t="shared" si="31"/>
        <v>0.17130000000000001</v>
      </c>
      <c r="L165" s="263">
        <f t="shared" si="39"/>
        <v>0</v>
      </c>
      <c r="M165" s="257">
        <f t="shared" si="40"/>
        <v>-2.6918103448275867</v>
      </c>
      <c r="N165" s="264">
        <f t="shared" si="32"/>
        <v>2.4637825830909406</v>
      </c>
      <c r="O165" s="468">
        <v>426</v>
      </c>
      <c r="P165" s="265">
        <f t="shared" si="35"/>
        <v>5.1999999999999998E-3</v>
      </c>
      <c r="Q165" s="266">
        <f t="shared" si="41"/>
        <v>2.98</v>
      </c>
      <c r="R165" s="275">
        <f t="shared" si="42"/>
        <v>0</v>
      </c>
      <c r="S165" s="270">
        <f t="shared" si="43"/>
        <v>0</v>
      </c>
      <c r="T165" s="269" t="str">
        <f t="shared" si="45"/>
        <v xml:space="preserve"> </v>
      </c>
      <c r="U165" s="270">
        <f t="shared" si="44"/>
        <v>0</v>
      </c>
    </row>
    <row r="166" spans="1:22" ht="15.5" hidden="1" x14ac:dyDescent="0.35">
      <c r="A166" s="272"/>
      <c r="B166" s="254" t="s">
        <v>188</v>
      </c>
      <c r="C166" s="255">
        <v>0.191</v>
      </c>
      <c r="D166" s="256">
        <f t="shared" si="36"/>
        <v>1.7363636363636363</v>
      </c>
      <c r="E166" s="173">
        <v>46250</v>
      </c>
      <c r="F166" s="257">
        <f t="shared" si="37"/>
        <v>1.4756972972972973</v>
      </c>
      <c r="G166" s="277">
        <v>3.1E-2</v>
      </c>
      <c r="H166" s="278">
        <f t="shared" si="38"/>
        <v>1.1481481481481481</v>
      </c>
      <c r="I166" s="273">
        <v>204</v>
      </c>
      <c r="J166" s="274">
        <v>223</v>
      </c>
      <c r="K166" s="262">
        <f t="shared" si="31"/>
        <v>9.3100000000000002E-2</v>
      </c>
      <c r="L166" s="263">
        <f t="shared" si="39"/>
        <v>0.5</v>
      </c>
      <c r="M166" s="257">
        <f t="shared" si="40"/>
        <v>-1.0064655172413794</v>
      </c>
      <c r="N166" s="264">
        <f t="shared" si="32"/>
        <v>4.8602090818090815</v>
      </c>
      <c r="O166" s="174">
        <v>300</v>
      </c>
      <c r="P166" s="265">
        <f t="shared" si="35"/>
        <v>6.4999999999999997E-3</v>
      </c>
      <c r="Q166" s="266">
        <f t="shared" si="41"/>
        <v>5.51</v>
      </c>
      <c r="R166" s="267">
        <f t="shared" si="42"/>
        <v>0</v>
      </c>
      <c r="S166" s="268">
        <f t="shared" si="43"/>
        <v>0</v>
      </c>
      <c r="T166" s="269" t="str">
        <f t="shared" si="45"/>
        <v xml:space="preserve"> </v>
      </c>
      <c r="U166" s="270">
        <f t="shared" si="44"/>
        <v>0</v>
      </c>
    </row>
    <row r="167" spans="1:22" ht="15.5" hidden="1" x14ac:dyDescent="0.35">
      <c r="A167" s="272"/>
      <c r="B167" s="254" t="s">
        <v>189</v>
      </c>
      <c r="C167" s="255">
        <v>8.1000000000000003E-2</v>
      </c>
      <c r="D167" s="256">
        <f t="shared" si="36"/>
        <v>0.73636363636363633</v>
      </c>
      <c r="E167" s="173">
        <v>47500</v>
      </c>
      <c r="F167" s="257">
        <f t="shared" si="37"/>
        <v>1.4368631578947368</v>
      </c>
      <c r="G167" s="258">
        <v>7.2999999999999995E-2</v>
      </c>
      <c r="H167" s="259">
        <f t="shared" si="38"/>
        <v>2.7037037037037037</v>
      </c>
      <c r="I167" s="273">
        <v>3960</v>
      </c>
      <c r="J167" s="274">
        <v>4129</v>
      </c>
      <c r="K167" s="262">
        <f t="shared" si="31"/>
        <v>4.2700000000000002E-2</v>
      </c>
      <c r="L167" s="263">
        <f t="shared" si="39"/>
        <v>1</v>
      </c>
      <c r="M167" s="257">
        <f t="shared" si="40"/>
        <v>7.9741379310344723E-2</v>
      </c>
      <c r="N167" s="264">
        <f t="shared" si="32"/>
        <v>5.8769304979620767</v>
      </c>
      <c r="O167" s="174">
        <v>499</v>
      </c>
      <c r="P167" s="265">
        <f t="shared" si="35"/>
        <v>1.0500000000000001E-2</v>
      </c>
      <c r="Q167" s="266">
        <f t="shared" si="41"/>
        <v>6.93</v>
      </c>
      <c r="R167" s="275">
        <f t="shared" si="42"/>
        <v>0.25</v>
      </c>
      <c r="S167" s="270">
        <f t="shared" si="43"/>
        <v>0.48020000000000002</v>
      </c>
      <c r="T167" s="269" t="str">
        <f t="shared" si="45"/>
        <v xml:space="preserve"> </v>
      </c>
      <c r="U167" s="270">
        <f t="shared" si="44"/>
        <v>0</v>
      </c>
      <c r="V167" s="209" t="s">
        <v>315</v>
      </c>
    </row>
    <row r="168" spans="1:22" ht="15.5" x14ac:dyDescent="0.35">
      <c r="A168" s="272"/>
      <c r="B168" s="254" t="s">
        <v>316</v>
      </c>
      <c r="C168" s="255">
        <v>4.7E-2</v>
      </c>
      <c r="D168" s="256">
        <f t="shared" si="36"/>
        <v>0.42727272727272725</v>
      </c>
      <c r="E168" s="173">
        <v>92475</v>
      </c>
      <c r="F168" s="257">
        <f t="shared" si="37"/>
        <v>0.73804812111381457</v>
      </c>
      <c r="G168" s="670">
        <v>1.2E-2</v>
      </c>
      <c r="H168" s="259">
        <f t="shared" si="38"/>
        <v>0.44444444444444448</v>
      </c>
      <c r="I168" s="273">
        <v>17233</v>
      </c>
      <c r="J168" s="274">
        <v>19128</v>
      </c>
      <c r="K168" s="262">
        <f t="shared" si="31"/>
        <v>0.11</v>
      </c>
      <c r="L168" s="263">
        <f t="shared" si="39"/>
        <v>0</v>
      </c>
      <c r="M168" s="257">
        <f t="shared" si="40"/>
        <v>-1.3706896551724139</v>
      </c>
      <c r="N168" s="264">
        <f t="shared" si="32"/>
        <v>1.6097652928309862</v>
      </c>
      <c r="O168" s="673">
        <v>7250</v>
      </c>
      <c r="P168" s="265">
        <f t="shared" si="35"/>
        <v>7.8399999999999997E-2</v>
      </c>
      <c r="Q168" s="266">
        <f t="shared" si="41"/>
        <v>9.4499999999999993</v>
      </c>
      <c r="R168" s="275">
        <f t="shared" si="42"/>
        <v>0.75</v>
      </c>
      <c r="S168" s="270">
        <f t="shared" si="43"/>
        <v>0.89300000000000002</v>
      </c>
      <c r="T168" s="269">
        <f t="shared" si="45"/>
        <v>0.89300000000000002</v>
      </c>
      <c r="U168" s="270"/>
      <c r="V168" s="671" t="s">
        <v>1060</v>
      </c>
    </row>
    <row r="169" spans="1:22" ht="15.5" x14ac:dyDescent="0.35">
      <c r="A169" s="272"/>
      <c r="B169" s="254" t="s">
        <v>190</v>
      </c>
      <c r="C169" s="255">
        <v>7.6999999999999999E-2</v>
      </c>
      <c r="D169" s="280">
        <f t="shared" si="36"/>
        <v>0.7</v>
      </c>
      <c r="E169" s="173">
        <v>46980</v>
      </c>
      <c r="F169" s="257">
        <f t="shared" si="37"/>
        <v>1.4527671349510429</v>
      </c>
      <c r="G169" s="670">
        <v>1.2999999999999999E-2</v>
      </c>
      <c r="H169" s="281">
        <f t="shared" si="38"/>
        <v>0.48148148148148145</v>
      </c>
      <c r="I169" s="273">
        <v>7707</v>
      </c>
      <c r="J169" s="274">
        <v>8026</v>
      </c>
      <c r="K169" s="262">
        <f t="shared" si="31"/>
        <v>4.1399999999999999E-2</v>
      </c>
      <c r="L169" s="263">
        <f t="shared" si="39"/>
        <v>1</v>
      </c>
      <c r="M169" s="257">
        <f t="shared" si="40"/>
        <v>0.10775862068965512</v>
      </c>
      <c r="N169" s="264">
        <f t="shared" si="32"/>
        <v>3.6342486164325245</v>
      </c>
      <c r="O169" s="475">
        <v>649</v>
      </c>
      <c r="P169" s="282">
        <f t="shared" si="35"/>
        <v>1.38E-2</v>
      </c>
      <c r="Q169" s="266">
        <f t="shared" si="41"/>
        <v>5.01</v>
      </c>
      <c r="R169" s="275">
        <f t="shared" si="42"/>
        <v>0</v>
      </c>
      <c r="S169" s="270">
        <f t="shared" si="43"/>
        <v>0</v>
      </c>
      <c r="T169" s="269" t="str">
        <f t="shared" si="45"/>
        <v xml:space="preserve"> </v>
      </c>
      <c r="U169" s="270">
        <f t="shared" si="44"/>
        <v>0</v>
      </c>
      <c r="V169" s="671" t="s">
        <v>796</v>
      </c>
    </row>
    <row r="170" spans="1:22" ht="15.5" hidden="1" x14ac:dyDescent="0.35">
      <c r="A170" s="272"/>
      <c r="B170" s="254" t="s">
        <v>191</v>
      </c>
      <c r="C170" s="255">
        <v>0.17499999999999999</v>
      </c>
      <c r="D170" s="256">
        <f t="shared" si="36"/>
        <v>1.5909090909090908</v>
      </c>
      <c r="E170" s="187">
        <v>36964</v>
      </c>
      <c r="F170" s="283">
        <f t="shared" si="37"/>
        <v>1.8464181365653067</v>
      </c>
      <c r="G170" s="284">
        <v>0</v>
      </c>
      <c r="H170" s="285">
        <f t="shared" si="38"/>
        <v>0</v>
      </c>
      <c r="I170" s="260">
        <v>511</v>
      </c>
      <c r="J170" s="261">
        <v>554</v>
      </c>
      <c r="K170" s="262">
        <f t="shared" si="31"/>
        <v>8.4099999999999994E-2</v>
      </c>
      <c r="L170" s="263">
        <f t="shared" si="39"/>
        <v>0.5</v>
      </c>
      <c r="M170" s="257">
        <f t="shared" si="40"/>
        <v>-0.8125</v>
      </c>
      <c r="N170" s="264">
        <f t="shared" si="32"/>
        <v>3.9373272274743973</v>
      </c>
      <c r="O170" s="188">
        <v>1138</v>
      </c>
      <c r="P170" s="286">
        <f t="shared" si="35"/>
        <v>3.0800000000000001E-2</v>
      </c>
      <c r="Q170" s="266">
        <f t="shared" si="41"/>
        <v>7.02</v>
      </c>
      <c r="R170" s="267">
        <f t="shared" si="42"/>
        <v>0.25</v>
      </c>
      <c r="S170" s="268">
        <f t="shared" si="43"/>
        <v>0.49280000000000002</v>
      </c>
      <c r="T170" s="269">
        <f t="shared" si="45"/>
        <v>0.49280000000000002</v>
      </c>
      <c r="U170" s="268">
        <f t="shared" si="44"/>
        <v>0</v>
      </c>
      <c r="V170" s="209" t="s">
        <v>317</v>
      </c>
    </row>
    <row r="171" spans="1:22" ht="15.5" x14ac:dyDescent="0.35">
      <c r="A171" s="272"/>
      <c r="B171" s="254" t="s">
        <v>192</v>
      </c>
      <c r="C171" s="255">
        <v>5.8999999999999997E-2</v>
      </c>
      <c r="D171" s="256">
        <f t="shared" si="36"/>
        <v>0.53636363636363638</v>
      </c>
      <c r="E171" s="173">
        <v>40000</v>
      </c>
      <c r="F171" s="257">
        <f t="shared" si="37"/>
        <v>1.706275</v>
      </c>
      <c r="G171" s="670">
        <v>4.2000000000000003E-2</v>
      </c>
      <c r="H171" s="259">
        <f t="shared" si="38"/>
        <v>1.5555555555555556</v>
      </c>
      <c r="I171" s="493">
        <v>3774</v>
      </c>
      <c r="J171" s="494">
        <v>3871</v>
      </c>
      <c r="K171" s="262">
        <f t="shared" si="31"/>
        <v>2.5700000000000001E-2</v>
      </c>
      <c r="L171" s="263">
        <f t="shared" si="39"/>
        <v>1</v>
      </c>
      <c r="M171" s="257">
        <f t="shared" si="40"/>
        <v>0.44612068965517238</v>
      </c>
      <c r="N171" s="264">
        <f t="shared" si="32"/>
        <v>4.7981941919191922</v>
      </c>
      <c r="O171" s="178">
        <v>1673</v>
      </c>
      <c r="P171" s="265">
        <f t="shared" si="35"/>
        <v>4.1799999999999997E-2</v>
      </c>
      <c r="Q171" s="266">
        <f t="shared" si="41"/>
        <v>8.98</v>
      </c>
      <c r="R171" s="275">
        <f t="shared" si="42"/>
        <v>0.75</v>
      </c>
      <c r="S171" s="270">
        <f t="shared" si="43"/>
        <v>0.80640000000000001</v>
      </c>
      <c r="T171" s="269">
        <f t="shared" si="45"/>
        <v>0.80640000000000001</v>
      </c>
      <c r="U171" s="270">
        <f t="shared" si="44"/>
        <v>0.80640000000000001</v>
      </c>
      <c r="V171" s="671" t="s">
        <v>1061</v>
      </c>
    </row>
    <row r="172" spans="1:22" ht="15.5" hidden="1" x14ac:dyDescent="0.35">
      <c r="A172" s="272">
        <v>1</v>
      </c>
      <c r="B172" s="254" t="s">
        <v>193</v>
      </c>
      <c r="C172" s="255">
        <v>6.9000000000000006E-2</v>
      </c>
      <c r="D172" s="256">
        <f t="shared" si="36"/>
        <v>0.62727272727272732</v>
      </c>
      <c r="E172" s="173">
        <v>60223</v>
      </c>
      <c r="F172" s="257">
        <f t="shared" si="37"/>
        <v>1.1333045514172326</v>
      </c>
      <c r="G172" s="258">
        <v>4.7E-2</v>
      </c>
      <c r="H172" s="259">
        <f t="shared" si="38"/>
        <v>1.7407407407407407</v>
      </c>
      <c r="I172" s="273">
        <v>6092</v>
      </c>
      <c r="J172" s="274">
        <v>6121</v>
      </c>
      <c r="K172" s="262">
        <f t="shared" si="31"/>
        <v>4.7999999999999996E-3</v>
      </c>
      <c r="L172" s="263">
        <f t="shared" si="39"/>
        <v>1</v>
      </c>
      <c r="M172" s="257">
        <f t="shared" si="40"/>
        <v>0.89655172413793105</v>
      </c>
      <c r="N172" s="264">
        <f t="shared" si="32"/>
        <v>4.501318019430701</v>
      </c>
      <c r="O172" s="176">
        <v>703</v>
      </c>
      <c r="P172" s="265">
        <f t="shared" si="35"/>
        <v>1.17E-2</v>
      </c>
      <c r="Q172" s="266">
        <f t="shared" si="41"/>
        <v>5.67</v>
      </c>
      <c r="R172" s="275">
        <f t="shared" si="42"/>
        <v>0</v>
      </c>
      <c r="S172" s="270">
        <f t="shared" si="43"/>
        <v>0</v>
      </c>
      <c r="T172" s="269" t="str">
        <f t="shared" si="45"/>
        <v xml:space="preserve"> </v>
      </c>
      <c r="U172" s="270">
        <f t="shared" si="44"/>
        <v>0</v>
      </c>
      <c r="V172" s="209" t="s">
        <v>318</v>
      </c>
    </row>
    <row r="173" spans="1:22" ht="15.5" x14ac:dyDescent="0.35">
      <c r="A173" s="272"/>
      <c r="B173" s="254" t="s">
        <v>194</v>
      </c>
      <c r="C173" s="255">
        <v>0.11700000000000001</v>
      </c>
      <c r="D173" s="256">
        <f t="shared" si="36"/>
        <v>1.0636363636363637</v>
      </c>
      <c r="E173" s="173">
        <v>59483</v>
      </c>
      <c r="F173" s="257">
        <f t="shared" si="37"/>
        <v>1.1474034598120471</v>
      </c>
      <c r="G173" s="670">
        <v>2.1000000000000001E-2</v>
      </c>
      <c r="H173" s="259">
        <f t="shared" si="38"/>
        <v>0.77777777777777779</v>
      </c>
      <c r="I173" s="273">
        <v>3693</v>
      </c>
      <c r="J173" s="274">
        <v>3848</v>
      </c>
      <c r="K173" s="262">
        <f t="shared" si="31"/>
        <v>4.2000000000000003E-2</v>
      </c>
      <c r="L173" s="263">
        <f t="shared" si="39"/>
        <v>1</v>
      </c>
      <c r="M173" s="257">
        <f t="shared" si="40"/>
        <v>9.4827586206896436E-2</v>
      </c>
      <c r="N173" s="264">
        <f t="shared" si="32"/>
        <v>3.9888176012261884</v>
      </c>
      <c r="O173" s="468">
        <v>662</v>
      </c>
      <c r="P173" s="265">
        <f t="shared" si="35"/>
        <v>1.11E-2</v>
      </c>
      <c r="Q173" s="266">
        <f t="shared" si="41"/>
        <v>5.0999999999999996</v>
      </c>
      <c r="R173" s="275">
        <f t="shared" si="42"/>
        <v>0</v>
      </c>
      <c r="S173" s="270">
        <f t="shared" si="43"/>
        <v>0</v>
      </c>
      <c r="T173" s="269" t="str">
        <f t="shared" si="45"/>
        <v xml:space="preserve"> </v>
      </c>
      <c r="U173" s="270">
        <f t="shared" si="44"/>
        <v>0</v>
      </c>
      <c r="V173" s="209" t="s">
        <v>319</v>
      </c>
    </row>
    <row r="174" spans="1:22" ht="15.5" hidden="1" x14ac:dyDescent="0.35">
      <c r="A174" s="272"/>
      <c r="B174" s="254" t="s">
        <v>195</v>
      </c>
      <c r="C174" s="255">
        <v>3.5000000000000003E-2</v>
      </c>
      <c r="D174" s="256">
        <f t="shared" si="36"/>
        <v>0.31818181818181823</v>
      </c>
      <c r="E174" s="173">
        <v>89984</v>
      </c>
      <c r="F174" s="257">
        <f t="shared" si="37"/>
        <v>0.75847928520625885</v>
      </c>
      <c r="G174" s="258">
        <v>2.4E-2</v>
      </c>
      <c r="H174" s="259">
        <f t="shared" si="38"/>
        <v>0.88888888888888895</v>
      </c>
      <c r="I174" s="273">
        <v>8589</v>
      </c>
      <c r="J174" s="274">
        <v>8394</v>
      </c>
      <c r="K174" s="262">
        <f t="shared" si="31"/>
        <v>-2.2700000000000001E-2</v>
      </c>
      <c r="L174" s="263">
        <f t="shared" si="39"/>
        <v>1.5</v>
      </c>
      <c r="M174" s="257">
        <f t="shared" si="40"/>
        <v>1.4892241379310345</v>
      </c>
      <c r="N174" s="264">
        <f t="shared" si="32"/>
        <v>3.4655499922769661</v>
      </c>
      <c r="O174" s="189">
        <v>350</v>
      </c>
      <c r="P174" s="265">
        <f t="shared" si="35"/>
        <v>3.8999999999999998E-3</v>
      </c>
      <c r="Q174" s="266">
        <f t="shared" si="41"/>
        <v>3.86</v>
      </c>
      <c r="R174" s="275">
        <f t="shared" si="42"/>
        <v>0</v>
      </c>
      <c r="S174" s="270">
        <f t="shared" si="43"/>
        <v>0</v>
      </c>
      <c r="T174" s="269" t="str">
        <f t="shared" si="45"/>
        <v xml:space="preserve"> </v>
      </c>
      <c r="U174" s="270">
        <f t="shared" si="44"/>
        <v>0</v>
      </c>
      <c r="V174" s="209" t="s">
        <v>320</v>
      </c>
    </row>
    <row r="175" spans="1:22" ht="15.5" hidden="1" x14ac:dyDescent="0.35">
      <c r="B175" s="287" t="s">
        <v>196</v>
      </c>
      <c r="C175" s="255">
        <v>0.08</v>
      </c>
      <c r="D175" s="288">
        <f t="shared" si="36"/>
        <v>0.72727272727272729</v>
      </c>
      <c r="E175" s="190">
        <v>96419</v>
      </c>
      <c r="F175" s="283">
        <f t="shared" si="37"/>
        <v>0.70785840964955038</v>
      </c>
      <c r="G175" s="289">
        <v>3.4000000000000002E-2</v>
      </c>
      <c r="H175" s="290">
        <f t="shared" si="38"/>
        <v>1.2592592592592593</v>
      </c>
      <c r="I175" s="291">
        <v>12529</v>
      </c>
      <c r="J175" s="292">
        <v>13851</v>
      </c>
      <c r="K175" s="262">
        <f t="shared" si="31"/>
        <v>0.1055</v>
      </c>
      <c r="L175" s="293">
        <f t="shared" si="39"/>
        <v>0</v>
      </c>
      <c r="M175" s="294">
        <f t="shared" si="40"/>
        <v>-1.2737068965517242</v>
      </c>
      <c r="N175" s="264">
        <f t="shared" si="32"/>
        <v>2.6943903961815368</v>
      </c>
      <c r="O175" s="194">
        <v>459</v>
      </c>
      <c r="P175" s="295">
        <f t="shared" si="35"/>
        <v>4.7999999999999996E-3</v>
      </c>
      <c r="Q175" s="296">
        <f t="shared" si="41"/>
        <v>3.17</v>
      </c>
      <c r="R175" s="297">
        <f t="shared" si="42"/>
        <v>0</v>
      </c>
      <c r="S175" s="298">
        <f t="shared" si="43"/>
        <v>0</v>
      </c>
      <c r="T175" s="269" t="str">
        <f t="shared" si="45"/>
        <v xml:space="preserve"> </v>
      </c>
      <c r="U175" s="298">
        <f t="shared" si="44"/>
        <v>0</v>
      </c>
    </row>
    <row r="176" spans="1:22" x14ac:dyDescent="0.35">
      <c r="B176" s="299" t="s">
        <v>197</v>
      </c>
      <c r="C176" s="300">
        <f t="shared" ref="C176:H176" si="46">AVERAGE(C11:C175)</f>
        <v>0.16773969696969701</v>
      </c>
      <c r="D176" s="301">
        <f t="shared" si="46"/>
        <v>1.5249063360881543</v>
      </c>
      <c r="E176" s="212">
        <f t="shared" si="46"/>
        <v>53688.719393939391</v>
      </c>
      <c r="F176" s="301">
        <f t="shared" si="46"/>
        <v>1.4492478857337192</v>
      </c>
      <c r="G176" s="302">
        <f t="shared" si="46"/>
        <v>4.974848484848484E-2</v>
      </c>
      <c r="H176" s="301">
        <f t="shared" si="46"/>
        <v>1.8425364758698097</v>
      </c>
      <c r="I176" s="303"/>
      <c r="K176" s="304">
        <f t="shared" ref="K176:T176" si="47">AVERAGE(K11:K175)</f>
        <v>1.4335151515151509E-2</v>
      </c>
      <c r="L176" s="301">
        <f t="shared" si="47"/>
        <v>1.1121212121212121</v>
      </c>
      <c r="M176" s="301">
        <f t="shared" si="47"/>
        <v>0.69105276907001034</v>
      </c>
      <c r="N176" s="301">
        <f t="shared" si="47"/>
        <v>5.928811909812894</v>
      </c>
      <c r="O176" s="305">
        <f t="shared" si="47"/>
        <v>837.35772151898743</v>
      </c>
      <c r="P176" s="306">
        <f t="shared" si="47"/>
        <v>1.6207547169811314E-2</v>
      </c>
      <c r="Q176" s="307">
        <f t="shared" si="47"/>
        <v>7.5154268292682911</v>
      </c>
      <c r="R176" s="307">
        <f t="shared" si="47"/>
        <v>0.3048780487804878</v>
      </c>
      <c r="S176" s="307">
        <f t="shared" si="47"/>
        <v>0.37797012195121965</v>
      </c>
      <c r="T176" s="191">
        <f t="shared" si="47"/>
        <v>0.76793970588235283</v>
      </c>
    </row>
    <row r="177" spans="1:23" x14ac:dyDescent="0.35">
      <c r="B177" s="299" t="s">
        <v>198</v>
      </c>
      <c r="C177" s="308">
        <f t="shared" ref="C177:H177" si="48">MEDIAN(C11:C175)</f>
        <v>0.13900000000000001</v>
      </c>
      <c r="D177" s="309">
        <f t="shared" si="48"/>
        <v>1.2636363636363637</v>
      </c>
      <c r="E177" s="212">
        <f t="shared" si="48"/>
        <v>51442</v>
      </c>
      <c r="F177" s="309">
        <f t="shared" si="48"/>
        <v>1.326756346953851</v>
      </c>
      <c r="G177" s="302">
        <f t="shared" si="48"/>
        <v>2.7E-2</v>
      </c>
      <c r="H177" s="309">
        <f t="shared" si="48"/>
        <v>1</v>
      </c>
      <c r="I177" s="303"/>
      <c r="K177" s="310">
        <f t="shared" ref="K177:T177" si="49">MEDIAN(K11:K175)</f>
        <v>1.9800000000000002E-2</v>
      </c>
      <c r="L177" s="309">
        <f t="shared" si="49"/>
        <v>1</v>
      </c>
      <c r="M177" s="309">
        <f t="shared" si="49"/>
        <v>0.57327586206896541</v>
      </c>
      <c r="N177" s="309">
        <f t="shared" si="49"/>
        <v>4.8602090818090815</v>
      </c>
      <c r="O177" s="305">
        <f t="shared" si="49"/>
        <v>665</v>
      </c>
      <c r="P177" s="306">
        <f t="shared" si="49"/>
        <v>1.3100000000000001E-2</v>
      </c>
      <c r="Q177" s="311">
        <f t="shared" si="49"/>
        <v>6.5750000000000002</v>
      </c>
      <c r="R177" s="311">
        <f t="shared" si="49"/>
        <v>0.25</v>
      </c>
      <c r="S177" s="311">
        <f t="shared" si="49"/>
        <v>0.43230000000000002</v>
      </c>
      <c r="T177" s="192">
        <f t="shared" si="49"/>
        <v>0.74995000000000001</v>
      </c>
    </row>
    <row r="178" spans="1:23" x14ac:dyDescent="0.35">
      <c r="B178" s="299" t="s">
        <v>199</v>
      </c>
      <c r="C178" s="308">
        <f t="shared" ref="C178:H178" si="50">MIN(C11:C175)</f>
        <v>0</v>
      </c>
      <c r="D178" s="309">
        <f t="shared" si="50"/>
        <v>0</v>
      </c>
      <c r="E178" s="212">
        <f t="shared" si="50"/>
        <v>16932</v>
      </c>
      <c r="F178" s="309">
        <f t="shared" si="50"/>
        <v>0.55436336463172942</v>
      </c>
      <c r="G178" s="302">
        <f t="shared" si="50"/>
        <v>0</v>
      </c>
      <c r="H178" s="309">
        <f t="shared" si="50"/>
        <v>0</v>
      </c>
      <c r="I178" s="303"/>
      <c r="K178" s="310">
        <f t="shared" ref="K178:T178" si="51">MIN(K11:K175)</f>
        <v>-0.34050000000000002</v>
      </c>
      <c r="L178" s="309">
        <f t="shared" si="51"/>
        <v>0</v>
      </c>
      <c r="M178" s="309">
        <f t="shared" si="51"/>
        <v>-15.312500000000002</v>
      </c>
      <c r="N178" s="309">
        <f t="shared" si="51"/>
        <v>1.0353109010567576</v>
      </c>
      <c r="O178" s="305">
        <f t="shared" si="51"/>
        <v>0</v>
      </c>
      <c r="P178" s="306">
        <f t="shared" si="51"/>
        <v>0</v>
      </c>
      <c r="Q178" s="311">
        <f t="shared" si="51"/>
        <v>2.14</v>
      </c>
      <c r="R178" s="311">
        <f t="shared" si="51"/>
        <v>0</v>
      </c>
      <c r="S178" s="311">
        <f t="shared" si="51"/>
        <v>0</v>
      </c>
      <c r="T178" s="192">
        <f t="shared" si="51"/>
        <v>0.49280000000000002</v>
      </c>
    </row>
    <row r="179" spans="1:23" x14ac:dyDescent="0.35">
      <c r="B179" s="299" t="s">
        <v>200</v>
      </c>
      <c r="C179" s="308">
        <f t="shared" ref="C179:H179" si="52">MAX(C11:C175)</f>
        <v>2.1800000000000002</v>
      </c>
      <c r="D179" s="309">
        <f t="shared" si="52"/>
        <v>19.81818181818182</v>
      </c>
      <c r="E179" s="212">
        <f t="shared" si="52"/>
        <v>123116</v>
      </c>
      <c r="F179" s="309">
        <f t="shared" si="52"/>
        <v>4.0308882589180248</v>
      </c>
      <c r="G179" s="302">
        <f t="shared" si="52"/>
        <v>2.0390000000000001</v>
      </c>
      <c r="H179" s="309">
        <f t="shared" si="52"/>
        <v>75.518518518518519</v>
      </c>
      <c r="I179" s="303"/>
      <c r="K179" s="310">
        <f t="shared" ref="K179:T179" si="53">MAX(K11:K175)</f>
        <v>0.75690000000000002</v>
      </c>
      <c r="L179" s="309">
        <f t="shared" si="53"/>
        <v>3</v>
      </c>
      <c r="M179" s="309">
        <f t="shared" si="53"/>
        <v>8.3383620689655178</v>
      </c>
      <c r="N179" s="309">
        <f t="shared" si="53"/>
        <v>97.413877148935001</v>
      </c>
      <c r="O179" s="305">
        <f t="shared" si="53"/>
        <v>7250</v>
      </c>
      <c r="P179" s="306">
        <f t="shared" si="53"/>
        <v>9.2600000000000002E-2</v>
      </c>
      <c r="Q179" s="311">
        <f t="shared" si="53"/>
        <v>99.61</v>
      </c>
      <c r="R179" s="311">
        <f t="shared" si="53"/>
        <v>1</v>
      </c>
      <c r="S179" s="311">
        <f t="shared" si="53"/>
        <v>1</v>
      </c>
      <c r="T179" s="192">
        <f t="shared" si="53"/>
        <v>1</v>
      </c>
    </row>
    <row r="180" spans="1:23" x14ac:dyDescent="0.35">
      <c r="B180" s="312" t="s">
        <v>201</v>
      </c>
      <c r="C180" s="313">
        <f t="shared" ref="C180:H180" si="54">_xlfn.STDEV.P(C11:C175)</f>
        <v>0.19839121547764166</v>
      </c>
      <c r="D180" s="309">
        <f t="shared" si="54"/>
        <v>1.8035565043421968</v>
      </c>
      <c r="E180" s="212">
        <f t="shared" si="54"/>
        <v>19118.759376654441</v>
      </c>
      <c r="F180" s="309">
        <f t="shared" si="54"/>
        <v>0.56751858203573591</v>
      </c>
      <c r="G180" s="310">
        <f t="shared" si="54"/>
        <v>0.17539673975272782</v>
      </c>
      <c r="H180" s="309">
        <f t="shared" si="54"/>
        <v>6.4961755463973265</v>
      </c>
      <c r="K180" s="310">
        <f t="shared" ref="K180:T180" si="55">_xlfn.STDEV.P(K11:K175)</f>
        <v>9.7281288995435325E-2</v>
      </c>
      <c r="L180" s="309">
        <f t="shared" si="55"/>
        <v>0.692714281805069</v>
      </c>
      <c r="M180" s="309">
        <f t="shared" si="55"/>
        <v>2.0965795042119684</v>
      </c>
      <c r="N180" s="309">
        <f t="shared" si="55"/>
        <v>8.2387612122530811</v>
      </c>
      <c r="O180" s="305">
        <f t="shared" si="55"/>
        <v>876.67484109993325</v>
      </c>
      <c r="P180" s="314">
        <f t="shared" si="55"/>
        <v>1.2477000461829951E-2</v>
      </c>
      <c r="Q180" s="315">
        <f t="shared" si="55"/>
        <v>8.4290583589044363</v>
      </c>
      <c r="R180" s="315">
        <f t="shared" si="55"/>
        <v>0.34597949996523314</v>
      </c>
      <c r="S180" s="315">
        <f t="shared" si="55"/>
        <v>0.37595137061954786</v>
      </c>
      <c r="T180" s="192">
        <f t="shared" si="55"/>
        <v>0.17801557114618288</v>
      </c>
    </row>
    <row r="181" spans="1:23" ht="29" x14ac:dyDescent="0.35">
      <c r="B181" s="312" t="s">
        <v>321</v>
      </c>
      <c r="C181" s="310"/>
      <c r="G181" s="310"/>
      <c r="H181" s="213"/>
      <c r="J181" s="310"/>
      <c r="K181" s="211"/>
      <c r="L181" s="211"/>
      <c r="M181" s="211"/>
      <c r="N181" s="212"/>
      <c r="O181" s="212"/>
      <c r="P181" s="215"/>
      <c r="Q181" s="316" t="s">
        <v>202</v>
      </c>
      <c r="R181" s="209"/>
      <c r="S181" s="317">
        <f>COUNTIFS($S$11:$S$175,"&gt;=.4",$S$11:$S$175,"&lt;.5")</f>
        <v>24</v>
      </c>
      <c r="T181" s="316" t="s">
        <v>203</v>
      </c>
      <c r="U181" s="316" t="s">
        <v>203</v>
      </c>
    </row>
    <row r="182" spans="1:23" ht="15" customHeight="1" x14ac:dyDescent="0.35">
      <c r="B182" s="312"/>
      <c r="C182" s="310"/>
      <c r="G182" s="310"/>
      <c r="H182" s="213"/>
      <c r="J182" s="310"/>
      <c r="K182" s="211"/>
      <c r="L182" s="211"/>
      <c r="M182" s="211"/>
      <c r="N182" s="212"/>
      <c r="O182" s="212"/>
      <c r="P182" s="215"/>
      <c r="Q182" s="318">
        <v>0</v>
      </c>
      <c r="R182" s="319" t="s">
        <v>203</v>
      </c>
      <c r="S182" s="317">
        <f>COUNTIFS($S$11:$S$175,"&gt;=.5",$S$11:$S$175,"&lt;.6")</f>
        <v>15</v>
      </c>
      <c r="T182" s="317">
        <f>COUNTIFS(T11:T175,"&gt;=.3",T11:T175,"&lt;.4")</f>
        <v>0</v>
      </c>
      <c r="U182" s="317">
        <f>COUNTIFS($U$11:$U$175,"&gt;=.3",$U$11:$U$175,"&lt;.4")</f>
        <v>0</v>
      </c>
    </row>
    <row r="183" spans="1:23" ht="15" customHeight="1" x14ac:dyDescent="0.35">
      <c r="B183" s="312"/>
      <c r="C183" s="310"/>
      <c r="G183" s="310"/>
      <c r="H183" s="213"/>
      <c r="J183" s="310"/>
      <c r="K183" s="211"/>
      <c r="L183" s="211"/>
      <c r="M183" s="211"/>
      <c r="N183" s="212"/>
      <c r="O183" s="212"/>
      <c r="P183" s="215"/>
      <c r="Q183" s="317" t="s">
        <v>204</v>
      </c>
      <c r="R183" s="320"/>
      <c r="S183" s="317">
        <f>COUNTIFS($S$11:$S$175,"&gt;=.6",$S$11:$S$175,"&lt;.7")</f>
        <v>9</v>
      </c>
      <c r="T183" s="317">
        <f>COUNTIFS(T11:T175,"&gt;=.49",T11:T175,"&lt;.5")</f>
        <v>3</v>
      </c>
      <c r="U183" s="317">
        <f>COUNTIFS($U$11:$U$175,"&gt;=.4",$U$11:$U$175,"&lt;.5")</f>
        <v>0</v>
      </c>
    </row>
    <row r="184" spans="1:23" ht="15" customHeight="1" x14ac:dyDescent="0.35">
      <c r="B184" s="321" t="s">
        <v>205</v>
      </c>
      <c r="E184" s="322"/>
      <c r="F184" s="322"/>
      <c r="G184" s="323"/>
      <c r="H184" s="213"/>
      <c r="K184" s="324"/>
      <c r="L184" s="325"/>
      <c r="M184" s="325"/>
      <c r="N184" s="326" t="s">
        <v>322</v>
      </c>
      <c r="O184" s="327">
        <f>COUNTIF(P11:P175,"&gt;=0.02")</f>
        <v>37</v>
      </c>
      <c r="P184" s="319" t="s">
        <v>202</v>
      </c>
      <c r="Q184" s="317" t="s">
        <v>206</v>
      </c>
      <c r="R184" s="328">
        <f>O186-O187</f>
        <v>22</v>
      </c>
      <c r="S184" s="317">
        <f>COUNTIFS($S$11:$S$175,"&gt;=.7",$S$11:$S$175,"&lt;.8")</f>
        <v>10</v>
      </c>
      <c r="T184" s="317">
        <f>COUNTIFS(T11:T175,"&gt;=.5",T11:T175,"&lt;.6")</f>
        <v>15</v>
      </c>
      <c r="U184" s="317">
        <f>COUNTIFS($U$11:$U$175,"&gt;=.5",$U$11:$U$175,"&lt;.6")</f>
        <v>9</v>
      </c>
    </row>
    <row r="185" spans="1:23" x14ac:dyDescent="0.35">
      <c r="B185" s="329"/>
      <c r="D185" s="330"/>
      <c r="E185" s="323"/>
      <c r="F185" s="323"/>
      <c r="G185" s="323"/>
      <c r="H185" s="213"/>
      <c r="K185" s="324"/>
      <c r="L185" s="326" t="s">
        <v>207</v>
      </c>
      <c r="M185" s="325"/>
      <c r="N185" s="331">
        <v>6.25</v>
      </c>
      <c r="O185" s="332">
        <f>COUNTIF($Q$11:$Q$175,"&lt;"&amp;N185)</f>
        <v>74</v>
      </c>
      <c r="P185" s="320"/>
      <c r="Q185" s="317" t="s">
        <v>208</v>
      </c>
      <c r="R185" s="328">
        <f>O187-O188</f>
        <v>35</v>
      </c>
      <c r="S185" s="317">
        <f>COUNTIFS($S$11:$S$175,"&gt;=.8",$S$11:$S$175,"&lt;.9")</f>
        <v>11</v>
      </c>
      <c r="T185" s="317">
        <f>COUNTIFS(T11:T175,"&gt;=.6",T11:T175,"&lt;.7")</f>
        <v>9</v>
      </c>
      <c r="U185" s="317">
        <f>COUNTIFS($U$11:$U$175,"&gt;=.6",$U$11:$U$175,"&lt;.7")</f>
        <v>9</v>
      </c>
    </row>
    <row r="186" spans="1:23" x14ac:dyDescent="0.35">
      <c r="B186" s="675" t="s">
        <v>209</v>
      </c>
      <c r="C186" s="333"/>
      <c r="D186" s="334"/>
      <c r="E186" s="334"/>
      <c r="F186" s="334"/>
      <c r="G186" s="323"/>
      <c r="H186" s="213"/>
      <c r="K186" s="324"/>
      <c r="L186" s="326" t="s">
        <v>210</v>
      </c>
      <c r="M186" s="325"/>
      <c r="N186" s="331">
        <v>6.25</v>
      </c>
      <c r="O186" s="332">
        <f>COUNTIF($Q$11:$Q$175,"&gt;="&amp;N186)</f>
        <v>90</v>
      </c>
      <c r="P186" s="335"/>
      <c r="Q186" s="317" t="s">
        <v>211</v>
      </c>
      <c r="R186" s="328">
        <f>O188-O189</f>
        <v>15</v>
      </c>
      <c r="S186" s="317">
        <f>COUNTIFS($S$11:$S$175,"&gt;=.9",$S$11:$S$175,"&lt;1.00")</f>
        <v>2</v>
      </c>
      <c r="T186" s="317">
        <f>COUNTIFS(T11:T175,"&gt;=.7",T11:T175,"&lt;.8")</f>
        <v>10</v>
      </c>
      <c r="U186" s="317">
        <f>COUNTIFS($U$11:$U$175,"&gt;=.7",$U$11:$U$175,"&lt;.8")</f>
        <v>10</v>
      </c>
    </row>
    <row r="187" spans="1:23" x14ac:dyDescent="0.35">
      <c r="B187" s="676" t="s">
        <v>212</v>
      </c>
      <c r="C187" s="336"/>
      <c r="D187" s="337"/>
      <c r="E187" s="338"/>
      <c r="F187" s="338"/>
      <c r="G187" s="323"/>
      <c r="H187" s="332"/>
      <c r="I187" s="332"/>
      <c r="J187" s="332"/>
      <c r="K187" s="332"/>
      <c r="L187" s="339" t="s">
        <v>213</v>
      </c>
      <c r="M187" s="332"/>
      <c r="N187" s="340">
        <v>7</v>
      </c>
      <c r="O187" s="332">
        <f>COUNTIF($Q$11:$Q$175,"&gt;="&amp;N187)</f>
        <v>68</v>
      </c>
      <c r="P187" s="341">
        <v>0.49</v>
      </c>
      <c r="Q187" s="317" t="s">
        <v>214</v>
      </c>
      <c r="R187" s="319">
        <f>O189</f>
        <v>18</v>
      </c>
      <c r="S187" s="316">
        <f>COUNTIF($S$11:$S$175,"&gt;=1.0")</f>
        <v>18</v>
      </c>
      <c r="T187" s="317">
        <f>COUNTIFS(T11:T175,"&gt;=.8",T11:T175,"&lt;.9")</f>
        <v>11</v>
      </c>
      <c r="U187" s="317">
        <f>COUNTIFS($U$11:$U$175,"&gt;=.8",$U$11:$U$175,"&lt;.9")</f>
        <v>10</v>
      </c>
    </row>
    <row r="188" spans="1:23" x14ac:dyDescent="0.35">
      <c r="B188" s="672" t="s">
        <v>215</v>
      </c>
      <c r="C188" s="342"/>
      <c r="D188" s="343"/>
      <c r="E188" s="344"/>
      <c r="F188" s="344"/>
      <c r="G188" s="323"/>
      <c r="H188" s="213"/>
      <c r="K188" s="214"/>
      <c r="L188" s="326" t="s">
        <v>216</v>
      </c>
      <c r="M188" s="211"/>
      <c r="N188" s="331">
        <v>8.75</v>
      </c>
      <c r="O188" s="332">
        <f>COUNTIF($Q$11:$Q$175,"&gt;="&amp;N188)</f>
        <v>33</v>
      </c>
      <c r="P188" s="341">
        <v>0.76559999999999995</v>
      </c>
      <c r="Q188" s="317" t="s">
        <v>217</v>
      </c>
      <c r="R188" s="328">
        <f>SUM(R184:R187)</f>
        <v>90</v>
      </c>
      <c r="S188" s="317">
        <f>SUM(T180:T187)</f>
        <v>48.178015571146183</v>
      </c>
      <c r="T188" s="317">
        <f>COUNTIFS(T11:T175,"&gt;=.9",T11:T175,"&lt;1.00")</f>
        <v>2</v>
      </c>
      <c r="U188" s="317">
        <f>COUNTIFS($U$11:$U$175,"&gt;=.9",$U$11:$U$175,"&lt;1.0")</f>
        <v>2</v>
      </c>
    </row>
    <row r="189" spans="1:23" x14ac:dyDescent="0.35">
      <c r="D189" s="329"/>
      <c r="E189" s="323"/>
      <c r="F189" s="323"/>
      <c r="G189" s="323"/>
      <c r="H189" s="213"/>
      <c r="K189" s="345"/>
      <c r="L189" s="326" t="s">
        <v>218</v>
      </c>
      <c r="M189" s="346"/>
      <c r="N189" s="331">
        <v>10</v>
      </c>
      <c r="O189" s="347">
        <f>COUNTIF($Q$11:$Q$175,"&gt;="&amp;N189)</f>
        <v>18</v>
      </c>
      <c r="P189" s="341">
        <v>1</v>
      </c>
      <c r="Q189" s="318">
        <v>1</v>
      </c>
      <c r="R189" s="348">
        <f>AVERAGE(R13:R75)</f>
        <v>0.29435483870967744</v>
      </c>
      <c r="S189" s="348">
        <f>AVERAGE(S13:S75)</f>
        <v>0.37544354838709676</v>
      </c>
      <c r="T189" s="316">
        <f>COUNTIF(T11:T175,"&gt;=1.0")</f>
        <v>18</v>
      </c>
      <c r="U189" s="316">
        <f>COUNTIF($U$11:$U$175,"&gt;=1.0")</f>
        <v>17</v>
      </c>
    </row>
    <row r="190" spans="1:23" s="351" customFormat="1" x14ac:dyDescent="0.35">
      <c r="A190" s="218"/>
      <c r="B190" s="209"/>
      <c r="C190" s="345"/>
      <c r="D190" s="346"/>
      <c r="E190" s="323"/>
      <c r="F190" s="323"/>
      <c r="G190" s="349"/>
      <c r="H190" s="213"/>
      <c r="I190" s="213"/>
      <c r="J190" s="213"/>
      <c r="K190" s="345"/>
      <c r="L190" s="350" t="s">
        <v>219</v>
      </c>
      <c r="M190" s="346"/>
      <c r="N190" s="327"/>
      <c r="O190" s="332">
        <f>COUNTA(B11:B175)</f>
        <v>165</v>
      </c>
      <c r="P190" s="320"/>
      <c r="T190" s="317">
        <f>SUM(S182:S189)</f>
        <v>113.55345911953327</v>
      </c>
      <c r="U190" s="317">
        <f>SUM(T182:T189)</f>
        <v>68</v>
      </c>
    </row>
    <row r="191" spans="1:23" x14ac:dyDescent="0.35">
      <c r="C191" s="345"/>
      <c r="D191" s="346"/>
      <c r="E191" s="323"/>
      <c r="F191" s="323"/>
      <c r="G191" s="349"/>
      <c r="H191" s="345"/>
      <c r="I191" s="346"/>
      <c r="L191" s="213"/>
      <c r="M191" s="345"/>
      <c r="O191" s="346"/>
      <c r="P191" s="350"/>
      <c r="Q191" s="352"/>
      <c r="R191" s="353" t="s">
        <v>220</v>
      </c>
      <c r="S191" s="348"/>
      <c r="V191" s="354">
        <f>AVERAGE(T11:T175)</f>
        <v>0.76793970588235283</v>
      </c>
      <c r="W191" s="355">
        <f>AVERAGE(U13:U35)</f>
        <v>0.18291739130434784</v>
      </c>
    </row>
    <row r="192" spans="1:23" x14ac:dyDescent="0.35">
      <c r="B192" s="351"/>
      <c r="C192" s="356"/>
      <c r="D192" s="331"/>
      <c r="E192" s="356"/>
      <c r="F192" s="331"/>
      <c r="G192" s="356"/>
      <c r="H192" s="331"/>
      <c r="I192" s="357"/>
      <c r="J192" s="357"/>
      <c r="K192" s="357"/>
      <c r="L192" s="356"/>
      <c r="M192" s="331"/>
      <c r="N192" s="331"/>
      <c r="O192" s="331"/>
      <c r="P192" s="358"/>
      <c r="Q192" s="351"/>
      <c r="R192" s="331"/>
      <c r="U192" s="351"/>
      <c r="V192" s="351"/>
    </row>
    <row r="193" spans="1:21" x14ac:dyDescent="0.35">
      <c r="B193" s="764" t="s">
        <v>221</v>
      </c>
      <c r="C193" s="764"/>
      <c r="D193" s="764"/>
      <c r="E193" s="764"/>
      <c r="F193" s="764"/>
      <c r="G193" s="764"/>
      <c r="H193" s="764"/>
      <c r="I193" s="764"/>
      <c r="J193" s="764"/>
      <c r="K193" s="764"/>
      <c r="L193" s="764"/>
      <c r="M193" s="764"/>
      <c r="N193" s="764"/>
      <c r="O193" s="764"/>
      <c r="P193" s="764"/>
      <c r="Q193" s="764"/>
      <c r="R193" s="764"/>
      <c r="S193" s="764"/>
      <c r="T193" s="764"/>
      <c r="U193" s="764"/>
    </row>
    <row r="194" spans="1:21" x14ac:dyDescent="0.35">
      <c r="B194" s="778" t="s">
        <v>222</v>
      </c>
      <c r="C194" s="778"/>
      <c r="D194" s="778"/>
      <c r="E194" s="778"/>
      <c r="F194" s="778"/>
      <c r="G194" s="778"/>
      <c r="H194" s="778"/>
      <c r="I194" s="778"/>
      <c r="J194" s="778"/>
      <c r="K194" s="778"/>
      <c r="L194" s="778"/>
      <c r="M194" s="778"/>
      <c r="N194" s="778"/>
      <c r="O194" s="778"/>
      <c r="P194" s="778"/>
      <c r="Q194" s="778"/>
      <c r="R194" s="778"/>
      <c r="S194" s="778"/>
      <c r="T194" s="778"/>
      <c r="U194" s="778"/>
    </row>
    <row r="195" spans="1:21" s="360" customFormat="1" x14ac:dyDescent="0.35">
      <c r="A195" s="359"/>
      <c r="B195" s="764" t="s">
        <v>323</v>
      </c>
      <c r="C195" s="764"/>
      <c r="D195" s="764"/>
      <c r="E195" s="764"/>
      <c r="F195" s="764"/>
      <c r="G195" s="764"/>
      <c r="H195" s="764"/>
      <c r="I195" s="764"/>
      <c r="J195" s="764"/>
      <c r="K195" s="764"/>
      <c r="L195" s="764"/>
      <c r="M195" s="764"/>
      <c r="N195" s="764"/>
      <c r="O195" s="764"/>
      <c r="P195" s="764"/>
      <c r="Q195" s="764"/>
      <c r="R195" s="764"/>
      <c r="S195" s="764"/>
      <c r="T195" s="764"/>
      <c r="U195" s="764"/>
    </row>
    <row r="196" spans="1:21" ht="20.149999999999999" customHeight="1" x14ac:dyDescent="0.35">
      <c r="B196" s="361" t="s">
        <v>223</v>
      </c>
      <c r="C196" s="362"/>
      <c r="D196" s="363"/>
      <c r="E196" s="211"/>
      <c r="G196" s="211"/>
      <c r="H196" s="213"/>
      <c r="J196" s="214"/>
      <c r="K196" s="214"/>
      <c r="L196" s="215"/>
      <c r="M196" s="211"/>
      <c r="O196" s="209"/>
      <c r="P196" s="209"/>
      <c r="Q196" s="209"/>
      <c r="R196" s="209"/>
    </row>
    <row r="197" spans="1:21" ht="20.149999999999999" customHeight="1" x14ac:dyDescent="0.35">
      <c r="B197" s="364" t="s">
        <v>224</v>
      </c>
      <c r="C197" s="365"/>
      <c r="D197" s="366"/>
      <c r="E197" s="211"/>
      <c r="F197" s="210"/>
      <c r="G197" s="211"/>
      <c r="H197" s="213"/>
      <c r="J197" s="214"/>
      <c r="K197" s="214"/>
      <c r="L197" s="215"/>
      <c r="M197" s="211"/>
      <c r="O197" s="209"/>
      <c r="P197" s="209"/>
      <c r="Q197" s="209"/>
      <c r="R197" s="209"/>
    </row>
    <row r="198" spans="1:21" ht="20.149999999999999" customHeight="1" x14ac:dyDescent="0.35">
      <c r="B198" s="367" t="s">
        <v>225</v>
      </c>
      <c r="C198" s="211"/>
      <c r="D198" s="212"/>
      <c r="E198" s="211"/>
      <c r="F198" s="210"/>
      <c r="G198" s="211"/>
      <c r="H198" s="213"/>
      <c r="J198" s="214"/>
      <c r="K198" s="214"/>
      <c r="L198" s="215"/>
      <c r="M198" s="211"/>
      <c r="O198" s="209"/>
      <c r="P198" s="209"/>
      <c r="Q198" s="368"/>
      <c r="R198" s="310"/>
    </row>
    <row r="199" spans="1:21" x14ac:dyDescent="0.35">
      <c r="B199" s="369" t="s">
        <v>326</v>
      </c>
      <c r="C199" s="370"/>
      <c r="Q199" s="368"/>
      <c r="R199" s="310"/>
    </row>
    <row r="200" spans="1:21" x14ac:dyDescent="0.35">
      <c r="B200" s="371" t="s">
        <v>229</v>
      </c>
      <c r="Q200" s="368"/>
      <c r="R200" s="310"/>
    </row>
    <row r="201" spans="1:21" x14ac:dyDescent="0.35">
      <c r="B201" s="372" t="s">
        <v>237</v>
      </c>
      <c r="Q201" s="368"/>
      <c r="R201" s="310"/>
    </row>
    <row r="202" spans="1:21" x14ac:dyDescent="0.35">
      <c r="B202" s="373" t="s">
        <v>325</v>
      </c>
      <c r="Q202" s="368"/>
      <c r="R202" s="310"/>
    </row>
    <row r="203" spans="1:21" x14ac:dyDescent="0.35">
      <c r="B203" s="374" t="s">
        <v>388</v>
      </c>
      <c r="Q203" s="368"/>
      <c r="R203" s="193"/>
    </row>
    <row r="204" spans="1:21" x14ac:dyDescent="0.35">
      <c r="B204" s="674" t="s">
        <v>389</v>
      </c>
      <c r="Q204" s="368"/>
      <c r="R204" s="310"/>
    </row>
    <row r="205" spans="1:21" x14ac:dyDescent="0.35">
      <c r="B205" s="467" t="s">
        <v>1028</v>
      </c>
    </row>
  </sheetData>
  <mergeCells count="20">
    <mergeCell ref="B195:U195"/>
    <mergeCell ref="C8:D8"/>
    <mergeCell ref="E8:F8"/>
    <mergeCell ref="G8:H8"/>
    <mergeCell ref="I8:M8"/>
    <mergeCell ref="O8:P8"/>
    <mergeCell ref="R8:R9"/>
    <mergeCell ref="S8:S9"/>
    <mergeCell ref="T8:T9"/>
    <mergeCell ref="U8:U9"/>
    <mergeCell ref="B193:U193"/>
    <mergeCell ref="B194:U194"/>
    <mergeCell ref="B1:U1"/>
    <mergeCell ref="B2:U2"/>
    <mergeCell ref="C7:D7"/>
    <mergeCell ref="E7:F7"/>
    <mergeCell ref="G7:H7"/>
    <mergeCell ref="I7:M7"/>
    <mergeCell ref="N7:Q7"/>
    <mergeCell ref="R7:U7"/>
  </mergeCells>
  <conditionalFormatting sqref="B11:B175">
    <cfRule type="expression" dxfId="38" priority="41">
      <formula>$T11</formula>
    </cfRule>
  </conditionalFormatting>
  <conditionalFormatting sqref="C10:C175">
    <cfRule type="cellIs" dxfId="37" priority="38" operator="between">
      <formula>0.17</formula>
      <formula>0.19</formula>
    </cfRule>
    <cfRule type="cellIs" dxfId="36" priority="39" operator="between">
      <formula>0.19</formula>
      <formula>0.204</formula>
    </cfRule>
    <cfRule type="cellIs" dxfId="35" priority="40" operator="greaterThan">
      <formula>0.204</formula>
    </cfRule>
  </conditionalFormatting>
  <conditionalFormatting sqref="E10">
    <cfRule type="cellIs" dxfId="34" priority="115" operator="lessThan">
      <formula>24226</formula>
    </cfRule>
    <cfRule type="cellIs" dxfId="33" priority="113" operator="between">
      <formula>29072</formula>
      <formula>36340</formula>
    </cfRule>
    <cfRule type="cellIs" dxfId="32" priority="114" operator="between">
      <formula>24226</formula>
      <formula>29072</formula>
    </cfRule>
  </conditionalFormatting>
  <conditionalFormatting sqref="E11:E87">
    <cfRule type="cellIs" dxfId="31" priority="8" operator="between">
      <formula>30496</formula>
      <formula>38120</formula>
    </cfRule>
    <cfRule type="cellIs" dxfId="30" priority="9" operator="between">
      <formula>25413</formula>
      <formula>30496</formula>
    </cfRule>
    <cfRule type="cellIs" dxfId="29" priority="10" operator="lessThan">
      <formula>25413</formula>
    </cfRule>
  </conditionalFormatting>
  <conditionalFormatting sqref="E88">
    <cfRule type="cellIs" dxfId="28" priority="5" operator="between">
      <formula>29072</formula>
      <formula>36340</formula>
    </cfRule>
    <cfRule type="cellIs" dxfId="27" priority="6" operator="between">
      <formula>24226</formula>
      <formula>29072</formula>
    </cfRule>
    <cfRule type="cellIs" dxfId="26" priority="7" operator="lessThan">
      <formula>24226</formula>
    </cfRule>
  </conditionalFormatting>
  <conditionalFormatting sqref="E89:E175">
    <cfRule type="cellIs" dxfId="25" priority="2" operator="between">
      <formula>30496</formula>
      <formula>38120</formula>
    </cfRule>
    <cfRule type="cellIs" dxfId="24" priority="3" operator="between">
      <formula>25413</formula>
      <formula>30496</formula>
    </cfRule>
    <cfRule type="cellIs" dxfId="23" priority="4" operator="lessThan">
      <formula>25413</formula>
    </cfRule>
  </conditionalFormatting>
  <conditionalFormatting sqref="G10">
    <cfRule type="cellIs" dxfId="22" priority="112" operator="greaterThan">
      <formula>0.1</formula>
    </cfRule>
    <cfRule type="cellIs" dxfId="21" priority="111" operator="between">
      <formula>0.094</formula>
      <formula>0.1</formula>
    </cfRule>
    <cfRule type="cellIs" dxfId="20" priority="110" operator="between">
      <formula>0.083</formula>
      <formula>0.094</formula>
    </cfRule>
  </conditionalFormatting>
  <conditionalFormatting sqref="G12:G84">
    <cfRule type="cellIs" dxfId="19" priority="48" operator="greaterThan">
      <formula>0.1</formula>
    </cfRule>
    <cfRule type="cellIs" dxfId="18" priority="46" operator="between">
      <formula>0.083</formula>
      <formula>0.094</formula>
    </cfRule>
    <cfRule type="cellIs" dxfId="17" priority="47" operator="between">
      <formula>0.094</formula>
      <formula>0.1</formula>
    </cfRule>
  </conditionalFormatting>
  <conditionalFormatting sqref="G85">
    <cfRule type="cellIs" dxfId="16" priority="34" operator="greaterThan">
      <formula>0.204</formula>
    </cfRule>
    <cfRule type="cellIs" dxfId="15" priority="33" operator="between">
      <formula>0.19</formula>
      <formula>0.204</formula>
    </cfRule>
    <cfRule type="cellIs" dxfId="14" priority="32" operator="between">
      <formula>0.17</formula>
      <formula>0.19</formula>
    </cfRule>
  </conditionalFormatting>
  <conditionalFormatting sqref="G86:G105">
    <cfRule type="cellIs" dxfId="13" priority="74" operator="between">
      <formula>0.083</formula>
      <formula>0.094</formula>
    </cfRule>
    <cfRule type="cellIs" dxfId="12" priority="75" operator="between">
      <formula>0.094</formula>
      <formula>0.1</formula>
    </cfRule>
    <cfRule type="cellIs" dxfId="11" priority="76" operator="greaterThan">
      <formula>0.1</formula>
    </cfRule>
  </conditionalFormatting>
  <conditionalFormatting sqref="G107:G175">
    <cfRule type="cellIs" dxfId="10" priority="62" operator="greaterThan">
      <formula>0.1</formula>
    </cfRule>
    <cfRule type="cellIs" dxfId="9" priority="60" operator="between">
      <formula>0.083</formula>
      <formula>0.094</formula>
    </cfRule>
    <cfRule type="cellIs" dxfId="8" priority="61" operator="between">
      <formula>0.094</formula>
      <formula>0.1</formula>
    </cfRule>
  </conditionalFormatting>
  <conditionalFormatting sqref="L10">
    <cfRule type="cellIs" dxfId="7" priority="119" operator="greaterThan">
      <formula>1.5</formula>
    </cfRule>
  </conditionalFormatting>
  <conditionalFormatting sqref="P10">
    <cfRule type="cellIs" dxfId="6" priority="107" operator="between">
      <formula>0.0125</formula>
      <formula>0.014</formula>
    </cfRule>
    <cfRule type="cellIs" dxfId="5" priority="108" operator="between">
      <formula>0.014</formula>
      <formula>0.0149</formula>
    </cfRule>
    <cfRule type="cellIs" dxfId="4" priority="109" operator="greaterThan">
      <formula>0.0149</formula>
    </cfRule>
  </conditionalFormatting>
  <conditionalFormatting sqref="P12:P175">
    <cfRule type="cellIs" dxfId="3" priority="43" operator="between">
      <formula>0.0125</formula>
      <formula>0.014</formula>
    </cfRule>
    <cfRule type="cellIs" dxfId="2" priority="44" operator="between">
      <formula>0.014</formula>
      <formula>0.0149</formula>
    </cfRule>
    <cfRule type="cellIs" dxfId="1" priority="45" operator="greaterThan">
      <formula>0.0149</formula>
    </cfRule>
  </conditionalFormatting>
  <conditionalFormatting sqref="T11:T175">
    <cfRule type="expression" dxfId="0" priority="1">
      <formula>$T11</formula>
    </cfRule>
  </conditionalFormatting>
  <pageMargins left="0.45" right="0.45" top="1.5" bottom="1" header="0.55000000000000004" footer="0.3"/>
  <pageSetup paperSize="3" scale="24" fitToHeight="0" orientation="portrait" r:id="rId1"/>
  <headerFooter>
    <oddHeader>&amp;C&amp;"-,Bold"&amp;28 2023 - April, Draft
Maine Clean Water State Revolving Fund Affordability Analysis
Indexed to State Values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61BF6-7CB0-4274-9100-A7C0A64C1007}">
  <dimension ref="A1:F535"/>
  <sheetViews>
    <sheetView tabSelected="1" zoomScale="150" zoomScaleNormal="150" workbookViewId="0">
      <selection activeCell="K3" sqref="K3"/>
    </sheetView>
  </sheetViews>
  <sheetFormatPr defaultRowHeight="12.5" x14ac:dyDescent="0.25"/>
  <cols>
    <col min="1" max="1" width="63.7265625" customWidth="1"/>
    <col min="2" max="2" width="12.81640625" style="667" bestFit="1" customWidth="1"/>
    <col min="3" max="3" width="14.453125" hidden="1" customWidth="1"/>
    <col min="4" max="4" width="10.26953125" customWidth="1"/>
    <col min="5" max="5" width="11.1796875" customWidth="1"/>
    <col min="6" max="6" width="9.54296875" bestFit="1" customWidth="1"/>
  </cols>
  <sheetData>
    <row r="1" spans="1:6" ht="61.5" customHeight="1" x14ac:dyDescent="0.35">
      <c r="A1" s="779" t="s">
        <v>392</v>
      </c>
      <c r="B1" s="780" t="s">
        <v>390</v>
      </c>
      <c r="C1" s="780"/>
      <c r="D1" s="781" t="s">
        <v>391</v>
      </c>
      <c r="E1" s="781"/>
      <c r="F1" s="781"/>
    </row>
    <row r="2" spans="1:6" ht="22.15" customHeight="1" x14ac:dyDescent="0.35">
      <c r="A2" s="779"/>
      <c r="B2" s="662" t="s">
        <v>1282</v>
      </c>
      <c r="C2" s="425" t="s">
        <v>341</v>
      </c>
      <c r="D2" s="631">
        <v>2013</v>
      </c>
      <c r="E2" s="632">
        <v>2023</v>
      </c>
      <c r="F2" s="633" t="s">
        <v>393</v>
      </c>
    </row>
    <row r="3" spans="1:6" ht="21" customHeight="1" thickBot="1" x14ac:dyDescent="0.4">
      <c r="A3" s="639" t="s">
        <v>336</v>
      </c>
      <c r="B3" s="663">
        <v>71773</v>
      </c>
      <c r="C3" s="640">
        <v>660</v>
      </c>
      <c r="D3" s="641">
        <v>1332673</v>
      </c>
      <c r="E3" s="642">
        <v>1399646</v>
      </c>
      <c r="F3" s="643">
        <f>(E3-D3)/D3</f>
        <v>5.0254638609771488E-2</v>
      </c>
    </row>
    <row r="4" spans="1:6" x14ac:dyDescent="0.25">
      <c r="A4" s="648" t="s">
        <v>394</v>
      </c>
      <c r="B4" s="664">
        <v>54875</v>
      </c>
      <c r="C4" s="649">
        <v>13853</v>
      </c>
      <c r="D4" s="650">
        <v>687</v>
      </c>
      <c r="E4" s="644">
        <v>647</v>
      </c>
      <c r="F4" s="635">
        <f t="shared" ref="F4:F68" si="0">(E4-D4)/D4</f>
        <v>-5.8224163027656477E-2</v>
      </c>
    </row>
    <row r="5" spans="1:6" x14ac:dyDescent="0.25">
      <c r="A5" s="651" t="s">
        <v>395</v>
      </c>
      <c r="B5" s="665">
        <v>75652</v>
      </c>
      <c r="C5" s="653">
        <v>18467</v>
      </c>
      <c r="D5" s="654">
        <v>2525</v>
      </c>
      <c r="E5" s="645">
        <v>2719</v>
      </c>
      <c r="F5" s="634">
        <f t="shared" si="0"/>
        <v>7.6831683168316831E-2</v>
      </c>
    </row>
    <row r="6" spans="1:6" x14ac:dyDescent="0.25">
      <c r="A6" s="648" t="s">
        <v>396</v>
      </c>
      <c r="B6" s="665">
        <v>48603</v>
      </c>
      <c r="C6" s="652">
        <v>6784</v>
      </c>
      <c r="D6" s="655">
        <v>1218</v>
      </c>
      <c r="E6" s="646">
        <v>1183</v>
      </c>
      <c r="F6" s="635">
        <f t="shared" si="0"/>
        <v>-2.8735632183908046E-2</v>
      </c>
    </row>
    <row r="7" spans="1:6" x14ac:dyDescent="0.25">
      <c r="A7" s="651" t="s">
        <v>397</v>
      </c>
      <c r="B7" s="665">
        <v>57356</v>
      </c>
      <c r="C7" s="652">
        <v>16235</v>
      </c>
      <c r="D7" s="655">
        <v>2012</v>
      </c>
      <c r="E7" s="646">
        <v>2083</v>
      </c>
      <c r="F7" s="636">
        <f t="shared" si="0"/>
        <v>3.5288270377733598E-2</v>
      </c>
    </row>
    <row r="8" spans="1:6" x14ac:dyDescent="0.25">
      <c r="A8" s="651" t="s">
        <v>398</v>
      </c>
      <c r="B8" s="665">
        <v>88125</v>
      </c>
      <c r="C8" s="652">
        <v>11977</v>
      </c>
      <c r="D8" s="655">
        <v>507</v>
      </c>
      <c r="E8" s="646">
        <v>526</v>
      </c>
      <c r="F8" s="636">
        <f t="shared" si="0"/>
        <v>3.7475345167652857E-2</v>
      </c>
    </row>
    <row r="9" spans="1:6" x14ac:dyDescent="0.25">
      <c r="A9" s="651" t="s">
        <v>816</v>
      </c>
      <c r="B9" s="665">
        <v>77174</v>
      </c>
      <c r="C9" s="652">
        <v>20133</v>
      </c>
      <c r="D9" s="655">
        <v>3039</v>
      </c>
      <c r="E9" s="646">
        <v>3197</v>
      </c>
      <c r="F9" s="636">
        <f t="shared" si="0"/>
        <v>5.1990786442908853E-2</v>
      </c>
    </row>
    <row r="10" spans="1:6" x14ac:dyDescent="0.25">
      <c r="A10" s="651" t="s">
        <v>399</v>
      </c>
      <c r="B10" s="665">
        <v>24609</v>
      </c>
      <c r="C10" s="652">
        <v>14918</v>
      </c>
      <c r="D10" s="655">
        <v>237</v>
      </c>
      <c r="E10" s="646">
        <v>236</v>
      </c>
      <c r="F10" s="636">
        <f t="shared" si="0"/>
        <v>-4.2194092827004216E-3</v>
      </c>
    </row>
    <row r="11" spans="1:6" x14ac:dyDescent="0.25">
      <c r="A11" s="651" t="s">
        <v>400</v>
      </c>
      <c r="B11" s="665">
        <v>87250</v>
      </c>
      <c r="C11" s="652">
        <v>15783</v>
      </c>
      <c r="D11" s="655">
        <v>703</v>
      </c>
      <c r="E11" s="646">
        <v>738</v>
      </c>
      <c r="F11" s="636">
        <f t="shared" si="0"/>
        <v>4.9786628733997154E-2</v>
      </c>
    </row>
    <row r="12" spans="1:6" x14ac:dyDescent="0.25">
      <c r="A12" s="651" t="s">
        <v>401</v>
      </c>
      <c r="B12" s="665">
        <v>56833</v>
      </c>
      <c r="C12" s="652">
        <v>8161</v>
      </c>
      <c r="D12" s="655">
        <v>867</v>
      </c>
      <c r="E12" s="646">
        <v>835</v>
      </c>
      <c r="F12" s="636">
        <f t="shared" si="0"/>
        <v>-3.690888119953864E-2</v>
      </c>
    </row>
    <row r="13" spans="1:6" x14ac:dyDescent="0.25">
      <c r="A13" s="651" t="s">
        <v>402</v>
      </c>
      <c r="B13" s="665">
        <v>72222</v>
      </c>
      <c r="C13" s="652">
        <v>8973</v>
      </c>
      <c r="D13" s="655">
        <v>261</v>
      </c>
      <c r="E13" s="646">
        <v>252</v>
      </c>
      <c r="F13" s="636">
        <f t="shared" si="0"/>
        <v>-3.4482758620689655E-2</v>
      </c>
    </row>
    <row r="14" spans="1:6" x14ac:dyDescent="0.25">
      <c r="A14" s="651" t="s">
        <v>403</v>
      </c>
      <c r="B14" s="665">
        <v>44167</v>
      </c>
      <c r="C14" s="652">
        <v>22159</v>
      </c>
      <c r="D14" s="655">
        <v>244</v>
      </c>
      <c r="E14" s="646">
        <v>251</v>
      </c>
      <c r="F14" s="636">
        <f t="shared" si="0"/>
        <v>2.8688524590163935E-2</v>
      </c>
    </row>
    <row r="15" spans="1:6" x14ac:dyDescent="0.25">
      <c r="A15" s="651" t="s">
        <v>404</v>
      </c>
      <c r="B15" s="665">
        <v>44375</v>
      </c>
      <c r="C15" s="652">
        <v>7730</v>
      </c>
      <c r="D15" s="655">
        <v>787</v>
      </c>
      <c r="E15" s="646">
        <v>899</v>
      </c>
      <c r="F15" s="636">
        <f t="shared" si="0"/>
        <v>0.14231257941550191</v>
      </c>
    </row>
    <row r="16" spans="1:6" x14ac:dyDescent="0.25">
      <c r="A16" s="651" t="s">
        <v>405</v>
      </c>
      <c r="B16" s="665">
        <v>48690</v>
      </c>
      <c r="C16" s="652">
        <v>9431</v>
      </c>
      <c r="D16" s="655">
        <v>2439</v>
      </c>
      <c r="E16" s="646">
        <v>2317</v>
      </c>
      <c r="F16" s="636">
        <f t="shared" si="0"/>
        <v>-5.0020500205002053E-2</v>
      </c>
    </row>
    <row r="17" spans="1:6" x14ac:dyDescent="0.25">
      <c r="A17" s="651" t="s">
        <v>406</v>
      </c>
      <c r="B17" s="665">
        <v>60357</v>
      </c>
      <c r="C17" s="652">
        <v>23045</v>
      </c>
      <c r="D17" s="655">
        <v>1336</v>
      </c>
      <c r="E17" s="646">
        <v>1447</v>
      </c>
      <c r="F17" s="636">
        <f t="shared" si="0"/>
        <v>8.3083832335329344E-2</v>
      </c>
    </row>
    <row r="18" spans="1:6" x14ac:dyDescent="0.25">
      <c r="A18" s="651" t="s">
        <v>407</v>
      </c>
      <c r="B18" s="665">
        <v>97625</v>
      </c>
      <c r="C18" s="652">
        <v>21833</v>
      </c>
      <c r="D18" s="655">
        <v>270</v>
      </c>
      <c r="E18" s="646">
        <v>259</v>
      </c>
      <c r="F18" s="636">
        <f t="shared" si="0"/>
        <v>-4.0740740740740744E-2</v>
      </c>
    </row>
    <row r="19" spans="1:6" x14ac:dyDescent="0.25">
      <c r="A19" s="651" t="s">
        <v>408</v>
      </c>
      <c r="B19" s="665">
        <v>109375</v>
      </c>
      <c r="C19" s="652">
        <v>36064</v>
      </c>
      <c r="D19" s="655">
        <v>440</v>
      </c>
      <c r="E19" s="646">
        <v>494</v>
      </c>
      <c r="F19" s="636">
        <f t="shared" si="0"/>
        <v>0.12272727272727273</v>
      </c>
    </row>
    <row r="20" spans="1:6" x14ac:dyDescent="0.25">
      <c r="A20" s="651" t="s">
        <v>409</v>
      </c>
      <c r="B20" s="665">
        <v>92386</v>
      </c>
      <c r="C20" s="652">
        <v>19135</v>
      </c>
      <c r="D20" s="655">
        <v>4078</v>
      </c>
      <c r="E20" s="646">
        <v>4471</v>
      </c>
      <c r="F20" s="636">
        <f t="shared" si="0"/>
        <v>9.6370769985286903E-2</v>
      </c>
    </row>
    <row r="21" spans="1:6" x14ac:dyDescent="0.25">
      <c r="A21" s="651" t="s">
        <v>817</v>
      </c>
      <c r="B21" s="665">
        <v>45000</v>
      </c>
      <c r="C21" s="652">
        <v>24902</v>
      </c>
      <c r="D21" s="655">
        <v>1261</v>
      </c>
      <c r="E21" s="646">
        <v>1206</v>
      </c>
      <c r="F21" s="636">
        <f t="shared" si="0"/>
        <v>-4.3616177636796191E-2</v>
      </c>
    </row>
    <row r="22" spans="1:6" x14ac:dyDescent="0.25">
      <c r="A22" s="651" t="s">
        <v>410</v>
      </c>
      <c r="B22" s="665">
        <v>58523</v>
      </c>
      <c r="C22" s="652">
        <v>10353</v>
      </c>
      <c r="D22" s="655">
        <v>1000</v>
      </c>
      <c r="E22" s="646">
        <v>958</v>
      </c>
      <c r="F22" s="636">
        <f t="shared" si="0"/>
        <v>-4.2000000000000003E-2</v>
      </c>
    </row>
    <row r="23" spans="1:6" x14ac:dyDescent="0.25">
      <c r="A23" s="651" t="s">
        <v>411</v>
      </c>
      <c r="B23" s="665">
        <v>66552</v>
      </c>
      <c r="C23" s="656">
        <v>5699</v>
      </c>
      <c r="D23" s="655">
        <v>23143</v>
      </c>
      <c r="E23" s="646">
        <v>24793</v>
      </c>
      <c r="F23" s="636">
        <f t="shared" si="0"/>
        <v>7.1295856198418522E-2</v>
      </c>
    </row>
    <row r="24" spans="1:6" x14ac:dyDescent="0.25">
      <c r="A24" s="651" t="s">
        <v>412</v>
      </c>
      <c r="B24" s="665">
        <v>48756</v>
      </c>
      <c r="C24" s="652">
        <v>4131</v>
      </c>
      <c r="D24" s="655">
        <v>18818</v>
      </c>
      <c r="E24" s="646">
        <v>19102</v>
      </c>
      <c r="F24" s="636">
        <f t="shared" si="0"/>
        <v>1.5091933255393772E-2</v>
      </c>
    </row>
    <row r="25" spans="1:6" x14ac:dyDescent="0.25">
      <c r="A25" s="651" t="s">
        <v>413</v>
      </c>
      <c r="B25" s="665">
        <v>66875</v>
      </c>
      <c r="C25" s="652">
        <v>50546</v>
      </c>
      <c r="D25" s="655">
        <v>106</v>
      </c>
      <c r="E25" s="646">
        <v>93</v>
      </c>
      <c r="F25" s="636">
        <f t="shared" si="0"/>
        <v>-0.12264150943396226</v>
      </c>
    </row>
    <row r="26" spans="1:6" x14ac:dyDescent="0.25">
      <c r="A26" s="651" t="s">
        <v>414</v>
      </c>
      <c r="B26" s="665">
        <v>42500</v>
      </c>
      <c r="C26" s="652">
        <v>10506</v>
      </c>
      <c r="D26" s="655">
        <v>457</v>
      </c>
      <c r="E26" s="646">
        <v>451</v>
      </c>
      <c r="F26" s="636">
        <f t="shared" si="0"/>
        <v>-1.3129102844638949E-2</v>
      </c>
    </row>
    <row r="27" spans="1:6" x14ac:dyDescent="0.25">
      <c r="A27" s="651" t="s">
        <v>415</v>
      </c>
      <c r="B27" s="665">
        <v>51136</v>
      </c>
      <c r="C27" s="652">
        <v>15443</v>
      </c>
      <c r="D27" s="655">
        <v>1457</v>
      </c>
      <c r="E27" s="646">
        <v>1321</v>
      </c>
      <c r="F27" s="636">
        <f t="shared" si="0"/>
        <v>-9.3342484557309535E-2</v>
      </c>
    </row>
    <row r="28" spans="1:6" x14ac:dyDescent="0.25">
      <c r="A28" s="651" t="s">
        <v>416</v>
      </c>
      <c r="B28" s="665">
        <v>66731</v>
      </c>
      <c r="C28" s="652">
        <v>9361</v>
      </c>
      <c r="D28" s="655">
        <v>1528</v>
      </c>
      <c r="E28" s="646">
        <v>1581</v>
      </c>
      <c r="F28" s="636">
        <f t="shared" si="0"/>
        <v>3.4685863874345552E-2</v>
      </c>
    </row>
    <row r="29" spans="1:6" x14ac:dyDescent="0.25">
      <c r="A29" s="651" t="s">
        <v>417</v>
      </c>
      <c r="B29" s="665">
        <v>22500</v>
      </c>
      <c r="C29" s="652">
        <v>18464</v>
      </c>
      <c r="D29" s="655">
        <v>67</v>
      </c>
      <c r="E29" s="646">
        <v>55</v>
      </c>
      <c r="F29" s="636">
        <f t="shared" si="0"/>
        <v>-0.17910447761194029</v>
      </c>
    </row>
    <row r="30" spans="1:6" x14ac:dyDescent="0.25">
      <c r="A30" s="651" t="s">
        <v>818</v>
      </c>
      <c r="B30" s="665">
        <v>58096</v>
      </c>
      <c r="C30" s="652">
        <v>6336</v>
      </c>
      <c r="D30" s="655">
        <v>32556</v>
      </c>
      <c r="E30" s="646">
        <v>31628</v>
      </c>
      <c r="F30" s="636">
        <f t="shared" si="0"/>
        <v>-2.8504730310848998E-2</v>
      </c>
    </row>
    <row r="31" spans="1:6" x14ac:dyDescent="0.25">
      <c r="A31" s="651" t="s">
        <v>819</v>
      </c>
      <c r="B31" s="665">
        <v>74408</v>
      </c>
      <c r="C31" s="652">
        <v>16591</v>
      </c>
      <c r="D31" s="655">
        <v>5155</v>
      </c>
      <c r="E31" s="646">
        <v>5276</v>
      </c>
      <c r="F31" s="636">
        <f t="shared" si="0"/>
        <v>2.3472356935014548E-2</v>
      </c>
    </row>
    <row r="32" spans="1:6" x14ac:dyDescent="0.25">
      <c r="A32" s="651" t="s">
        <v>418</v>
      </c>
      <c r="B32" s="665">
        <v>49286</v>
      </c>
      <c r="C32" s="652">
        <v>6712</v>
      </c>
      <c r="D32" s="655">
        <v>233</v>
      </c>
      <c r="E32" s="646">
        <v>203</v>
      </c>
      <c r="F32" s="636">
        <f t="shared" si="0"/>
        <v>-0.12875536480686695</v>
      </c>
    </row>
    <row r="33" spans="1:6" x14ac:dyDescent="0.25">
      <c r="A33" s="651" t="s">
        <v>419</v>
      </c>
      <c r="B33" s="665">
        <v>65565</v>
      </c>
      <c r="C33" s="652">
        <v>12076</v>
      </c>
      <c r="D33" s="655">
        <v>8493</v>
      </c>
      <c r="E33" s="646">
        <v>8844</v>
      </c>
      <c r="F33" s="636">
        <f t="shared" si="0"/>
        <v>4.1328152596255739E-2</v>
      </c>
    </row>
    <row r="34" spans="1:6" x14ac:dyDescent="0.25">
      <c r="A34" s="651" t="s">
        <v>420</v>
      </c>
      <c r="B34" s="665">
        <v>68125</v>
      </c>
      <c r="C34" s="652">
        <v>18715</v>
      </c>
      <c r="D34" s="655">
        <v>483</v>
      </c>
      <c r="E34" s="646">
        <v>457</v>
      </c>
      <c r="F34" s="636">
        <f t="shared" si="0"/>
        <v>-5.3830227743271224E-2</v>
      </c>
    </row>
    <row r="35" spans="1:6" x14ac:dyDescent="0.25">
      <c r="A35" s="651" t="s">
        <v>421</v>
      </c>
      <c r="B35" s="665">
        <v>84943</v>
      </c>
      <c r="C35" s="652">
        <v>28646</v>
      </c>
      <c r="D35" s="655">
        <v>123</v>
      </c>
      <c r="E35" s="646">
        <v>134</v>
      </c>
      <c r="F35" s="636">
        <f t="shared" si="0"/>
        <v>8.943089430894309E-2</v>
      </c>
    </row>
    <row r="36" spans="1:6" x14ac:dyDescent="0.25">
      <c r="A36" s="651" t="s">
        <v>422</v>
      </c>
      <c r="B36" s="665">
        <v>144750</v>
      </c>
      <c r="C36" s="652">
        <v>37954</v>
      </c>
      <c r="D36" s="655">
        <v>54</v>
      </c>
      <c r="E36" s="646">
        <v>61</v>
      </c>
      <c r="F36" s="636">
        <f t="shared" si="0"/>
        <v>0.12962962962962962</v>
      </c>
    </row>
    <row r="37" spans="1:6" x14ac:dyDescent="0.25">
      <c r="A37" s="651" t="s">
        <v>423</v>
      </c>
      <c r="B37" s="665">
        <v>61322</v>
      </c>
      <c r="C37" s="652">
        <v>8929</v>
      </c>
      <c r="D37" s="655">
        <v>6734</v>
      </c>
      <c r="E37" s="646">
        <v>7069</v>
      </c>
      <c r="F37" s="636">
        <f t="shared" si="0"/>
        <v>4.9747549747549746E-2</v>
      </c>
    </row>
    <row r="38" spans="1:6" x14ac:dyDescent="0.25">
      <c r="A38" s="651" t="s">
        <v>424</v>
      </c>
      <c r="B38" s="665">
        <v>86021</v>
      </c>
      <c r="C38" s="652">
        <v>8107</v>
      </c>
      <c r="D38" s="655">
        <v>3184</v>
      </c>
      <c r="E38" s="646">
        <v>3414</v>
      </c>
      <c r="F38" s="636">
        <f t="shared" si="0"/>
        <v>7.2236180904522607E-2</v>
      </c>
    </row>
    <row r="39" spans="1:6" x14ac:dyDescent="0.25">
      <c r="A39" s="651" t="s">
        <v>425</v>
      </c>
      <c r="B39" s="665">
        <v>58333</v>
      </c>
      <c r="C39" s="652">
        <v>14449</v>
      </c>
      <c r="D39" s="655">
        <v>953</v>
      </c>
      <c r="E39" s="646">
        <v>1025</v>
      </c>
      <c r="F39" s="636">
        <f t="shared" si="0"/>
        <v>7.5550891920251842E-2</v>
      </c>
    </row>
    <row r="40" spans="1:6" x14ac:dyDescent="0.25">
      <c r="A40" s="651" t="s">
        <v>426</v>
      </c>
      <c r="B40" s="665">
        <v>61230</v>
      </c>
      <c r="C40" s="652">
        <v>7532</v>
      </c>
      <c r="D40" s="655">
        <v>2692</v>
      </c>
      <c r="E40" s="646">
        <v>2794</v>
      </c>
      <c r="F40" s="636">
        <f t="shared" si="0"/>
        <v>3.7890044576523028E-2</v>
      </c>
    </row>
    <row r="41" spans="1:6" x14ac:dyDescent="0.25">
      <c r="A41" s="651" t="s">
        <v>820</v>
      </c>
      <c r="B41" s="665">
        <v>77790</v>
      </c>
      <c r="C41" s="652">
        <v>14276</v>
      </c>
      <c r="D41" s="655">
        <v>7459</v>
      </c>
      <c r="E41" s="646">
        <v>8266</v>
      </c>
      <c r="F41" s="636">
        <f t="shared" si="0"/>
        <v>0.10819144657460786</v>
      </c>
    </row>
    <row r="42" spans="1:6" x14ac:dyDescent="0.25">
      <c r="A42" s="651" t="s">
        <v>821</v>
      </c>
      <c r="B42" s="665">
        <v>56875</v>
      </c>
      <c r="C42" s="652">
        <v>26412</v>
      </c>
      <c r="D42" s="655">
        <v>2531</v>
      </c>
      <c r="E42" s="646">
        <v>2674</v>
      </c>
      <c r="F42" s="636">
        <f t="shared" si="0"/>
        <v>5.6499407348873966E-2</v>
      </c>
    </row>
    <row r="43" spans="1:6" x14ac:dyDescent="0.25">
      <c r="A43" s="651" t="s">
        <v>427</v>
      </c>
      <c r="B43" s="665">
        <v>69794</v>
      </c>
      <c r="C43" s="652">
        <v>4377</v>
      </c>
      <c r="D43" s="655">
        <v>21690</v>
      </c>
      <c r="E43" s="646">
        <v>22367</v>
      </c>
      <c r="F43" s="636">
        <f t="shared" si="0"/>
        <v>3.1212540341171047E-2</v>
      </c>
    </row>
    <row r="44" spans="1:6" x14ac:dyDescent="0.25">
      <c r="A44" s="651" t="s">
        <v>822</v>
      </c>
      <c r="B44" s="665">
        <v>59688</v>
      </c>
      <c r="C44" s="652">
        <v>22541</v>
      </c>
      <c r="D44" s="655">
        <v>899</v>
      </c>
      <c r="E44" s="646">
        <v>837</v>
      </c>
      <c r="F44" s="636">
        <f t="shared" si="0"/>
        <v>-6.8965517241379309E-2</v>
      </c>
    </row>
    <row r="45" spans="1:6" x14ac:dyDescent="0.25">
      <c r="A45" s="651" t="s">
        <v>428</v>
      </c>
      <c r="B45" s="665">
        <v>68750</v>
      </c>
      <c r="C45" s="652">
        <v>31998</v>
      </c>
      <c r="D45" s="655">
        <v>707</v>
      </c>
      <c r="E45" s="646">
        <v>670</v>
      </c>
      <c r="F45" s="636">
        <f t="shared" si="0"/>
        <v>-5.2333804809052337E-2</v>
      </c>
    </row>
    <row r="46" spans="1:6" x14ac:dyDescent="0.25">
      <c r="A46" s="651" t="s">
        <v>429</v>
      </c>
      <c r="B46" s="665">
        <v>49028</v>
      </c>
      <c r="C46" s="652">
        <v>40189</v>
      </c>
      <c r="D46" s="655">
        <v>95</v>
      </c>
      <c r="E46" s="646">
        <v>93</v>
      </c>
      <c r="F46" s="636">
        <f t="shared" si="0"/>
        <v>-2.1052631578947368E-2</v>
      </c>
    </row>
    <row r="47" spans="1:6" x14ac:dyDescent="0.25">
      <c r="A47" s="651" t="s">
        <v>823</v>
      </c>
      <c r="B47" s="665">
        <v>70164</v>
      </c>
      <c r="C47" s="652">
        <v>23227</v>
      </c>
      <c r="D47" s="655">
        <v>2719</v>
      </c>
      <c r="E47" s="646">
        <v>2818</v>
      </c>
      <c r="F47" s="636">
        <f t="shared" si="0"/>
        <v>3.6410445016550205E-2</v>
      </c>
    </row>
    <row r="48" spans="1:6" x14ac:dyDescent="0.25">
      <c r="A48" s="651" t="s">
        <v>824</v>
      </c>
      <c r="B48" s="665">
        <v>62031</v>
      </c>
      <c r="C48" s="652">
        <v>11592</v>
      </c>
      <c r="D48" s="655">
        <v>2075</v>
      </c>
      <c r="E48" s="646">
        <v>2088</v>
      </c>
      <c r="F48" s="636">
        <f t="shared" si="0"/>
        <v>6.265060240963855E-3</v>
      </c>
    </row>
    <row r="49" spans="1:6" x14ac:dyDescent="0.25">
      <c r="A49" s="651" t="s">
        <v>430</v>
      </c>
      <c r="B49" s="665">
        <v>57088</v>
      </c>
      <c r="C49" s="652">
        <v>11030</v>
      </c>
      <c r="D49" s="655">
        <v>3049</v>
      </c>
      <c r="E49" s="646">
        <v>3149</v>
      </c>
      <c r="F49" s="636">
        <f t="shared" si="0"/>
        <v>3.2797638570022956E-2</v>
      </c>
    </row>
    <row r="50" spans="1:6" x14ac:dyDescent="0.25">
      <c r="A50" s="651" t="s">
        <v>431</v>
      </c>
      <c r="B50" s="665">
        <v>78238</v>
      </c>
      <c r="C50" s="652">
        <v>25092</v>
      </c>
      <c r="D50" s="655">
        <v>3044</v>
      </c>
      <c r="E50" s="646">
        <v>3210</v>
      </c>
      <c r="F50" s="636">
        <f t="shared" si="0"/>
        <v>5.4533508541392904E-2</v>
      </c>
    </row>
    <row r="51" spans="1:6" x14ac:dyDescent="0.25">
      <c r="A51" s="651" t="s">
        <v>825</v>
      </c>
      <c r="B51" s="665">
        <v>104914</v>
      </c>
      <c r="C51" s="652">
        <v>14827</v>
      </c>
      <c r="D51" s="655">
        <v>2867</v>
      </c>
      <c r="E51" s="646">
        <v>3185</v>
      </c>
      <c r="F51" s="636">
        <f t="shared" si="0"/>
        <v>0.11091733519358214</v>
      </c>
    </row>
    <row r="52" spans="1:6" x14ac:dyDescent="0.25">
      <c r="A52" s="651" t="s">
        <v>432</v>
      </c>
      <c r="B52" s="665">
        <v>74792</v>
      </c>
      <c r="C52" s="652">
        <v>28797</v>
      </c>
      <c r="D52" s="655">
        <v>122</v>
      </c>
      <c r="E52" s="646">
        <v>141</v>
      </c>
      <c r="F52" s="636">
        <f t="shared" si="0"/>
        <v>0.15573770491803279</v>
      </c>
    </row>
    <row r="53" spans="1:6" x14ac:dyDescent="0.25">
      <c r="A53" s="651" t="s">
        <v>433</v>
      </c>
      <c r="B53" s="665">
        <v>72167</v>
      </c>
      <c r="C53" s="652">
        <v>21174</v>
      </c>
      <c r="D53" s="655">
        <v>1250</v>
      </c>
      <c r="E53" s="646">
        <v>1207</v>
      </c>
      <c r="F53" s="636">
        <f t="shared" si="0"/>
        <v>-3.44E-2</v>
      </c>
    </row>
    <row r="54" spans="1:6" x14ac:dyDescent="0.25">
      <c r="A54" s="651" t="s">
        <v>826</v>
      </c>
      <c r="B54" s="665">
        <v>68929</v>
      </c>
      <c r="C54" s="652">
        <v>13735</v>
      </c>
      <c r="D54" s="655">
        <v>1491</v>
      </c>
      <c r="E54" s="646">
        <v>1569</v>
      </c>
      <c r="F54" s="636">
        <f t="shared" si="0"/>
        <v>5.2313883299798795E-2</v>
      </c>
    </row>
    <row r="55" spans="1:6" x14ac:dyDescent="0.25">
      <c r="A55" s="651" t="s">
        <v>434</v>
      </c>
      <c r="B55" s="665">
        <v>96250</v>
      </c>
      <c r="C55" s="652">
        <v>20651</v>
      </c>
      <c r="D55" s="655">
        <v>796</v>
      </c>
      <c r="E55" s="646">
        <v>853</v>
      </c>
      <c r="F55" s="636">
        <f t="shared" si="0"/>
        <v>7.160804020100503E-2</v>
      </c>
    </row>
    <row r="56" spans="1:6" x14ac:dyDescent="0.25">
      <c r="A56" s="651" t="s">
        <v>435</v>
      </c>
      <c r="B56" s="665">
        <v>51490</v>
      </c>
      <c r="C56" s="652">
        <v>12877</v>
      </c>
      <c r="D56" s="655">
        <v>9553</v>
      </c>
      <c r="E56" s="646">
        <v>9646</v>
      </c>
      <c r="F56" s="636">
        <f t="shared" si="0"/>
        <v>9.7351617292996961E-3</v>
      </c>
    </row>
    <row r="57" spans="1:6" x14ac:dyDescent="0.25">
      <c r="A57" s="651" t="s">
        <v>436</v>
      </c>
      <c r="B57" s="665">
        <v>53000</v>
      </c>
      <c r="C57" s="652">
        <v>15246</v>
      </c>
      <c r="D57" s="655">
        <v>583</v>
      </c>
      <c r="E57" s="646">
        <v>528</v>
      </c>
      <c r="F57" s="636">
        <f t="shared" si="0"/>
        <v>-9.4339622641509441E-2</v>
      </c>
    </row>
    <row r="58" spans="1:6" x14ac:dyDescent="0.25">
      <c r="A58" s="651" t="s">
        <v>827</v>
      </c>
      <c r="B58" s="665">
        <v>86250</v>
      </c>
      <c r="C58" s="652">
        <v>18986</v>
      </c>
      <c r="D58" s="655">
        <v>5296</v>
      </c>
      <c r="E58" s="646">
        <v>5683</v>
      </c>
      <c r="F58" s="636">
        <f t="shared" si="0"/>
        <v>7.3074018126888213E-2</v>
      </c>
    </row>
    <row r="59" spans="1:6" x14ac:dyDescent="0.25">
      <c r="A59" s="651" t="s">
        <v>437</v>
      </c>
      <c r="B59" s="665">
        <v>52500</v>
      </c>
      <c r="C59" s="652">
        <v>21689</v>
      </c>
      <c r="D59" s="655">
        <v>67</v>
      </c>
      <c r="E59" s="646">
        <v>61</v>
      </c>
      <c r="F59" s="636">
        <f t="shared" si="0"/>
        <v>-8.9552238805970144E-2</v>
      </c>
    </row>
    <row r="60" spans="1:6" x14ac:dyDescent="0.25">
      <c r="A60" s="651" t="s">
        <v>438</v>
      </c>
      <c r="B60" s="665">
        <v>91250</v>
      </c>
      <c r="C60" s="652">
        <v>14797</v>
      </c>
      <c r="D60" s="655">
        <v>2746</v>
      </c>
      <c r="E60" s="646">
        <v>2964</v>
      </c>
      <c r="F60" s="636">
        <f t="shared" si="0"/>
        <v>7.938820101966497E-2</v>
      </c>
    </row>
    <row r="61" spans="1:6" x14ac:dyDescent="0.25">
      <c r="A61" s="651" t="s">
        <v>439</v>
      </c>
      <c r="B61" s="665">
        <v>66250</v>
      </c>
      <c r="C61" s="652">
        <v>6952</v>
      </c>
      <c r="D61" s="655">
        <v>828</v>
      </c>
      <c r="E61" s="646">
        <v>829</v>
      </c>
      <c r="F61" s="636">
        <f t="shared" si="0"/>
        <v>1.2077294685990338E-3</v>
      </c>
    </row>
    <row r="62" spans="1:6" x14ac:dyDescent="0.25">
      <c r="A62" s="651" t="s">
        <v>440</v>
      </c>
      <c r="B62" s="665">
        <v>58289</v>
      </c>
      <c r="C62" s="652">
        <v>8849</v>
      </c>
      <c r="D62" s="655">
        <v>1046</v>
      </c>
      <c r="E62" s="646">
        <v>1026</v>
      </c>
      <c r="F62" s="636">
        <f t="shared" si="0"/>
        <v>-1.9120458891013385E-2</v>
      </c>
    </row>
    <row r="63" spans="1:6" x14ac:dyDescent="0.25">
      <c r="A63" s="651" t="s">
        <v>441</v>
      </c>
      <c r="B63" s="665">
        <v>53095</v>
      </c>
      <c r="C63" s="652">
        <v>17793</v>
      </c>
      <c r="D63" s="655">
        <v>936</v>
      </c>
      <c r="E63" s="646">
        <v>933</v>
      </c>
      <c r="F63" s="636">
        <f t="shared" si="0"/>
        <v>-3.205128205128205E-3</v>
      </c>
    </row>
    <row r="64" spans="1:6" x14ac:dyDescent="0.25">
      <c r="A64" s="651" t="s">
        <v>442</v>
      </c>
      <c r="B64" s="665">
        <v>59291</v>
      </c>
      <c r="C64" s="652">
        <v>3215</v>
      </c>
      <c r="D64" s="655">
        <v>1597</v>
      </c>
      <c r="E64" s="646">
        <v>1706</v>
      </c>
      <c r="F64" s="636">
        <f t="shared" si="0"/>
        <v>6.8252974326862864E-2</v>
      </c>
    </row>
    <row r="65" spans="1:6" x14ac:dyDescent="0.25">
      <c r="A65" s="651" t="s">
        <v>443</v>
      </c>
      <c r="B65" s="665">
        <v>43385</v>
      </c>
      <c r="C65" s="652">
        <v>7593</v>
      </c>
      <c r="D65" s="655">
        <v>1202</v>
      </c>
      <c r="E65" s="646">
        <v>1163</v>
      </c>
      <c r="F65" s="636">
        <f t="shared" si="0"/>
        <v>-3.2445923460898501E-2</v>
      </c>
    </row>
    <row r="66" spans="1:6" hidden="1" x14ac:dyDescent="0.25">
      <c r="A66" s="657" t="s">
        <v>828</v>
      </c>
      <c r="B66" s="666">
        <v>45588</v>
      </c>
      <c r="C66" s="658">
        <v>13426</v>
      </c>
      <c r="D66" s="647"/>
      <c r="E66" s="647"/>
      <c r="F66" s="637"/>
    </row>
    <row r="67" spans="1:6" x14ac:dyDescent="0.25">
      <c r="A67" s="651" t="s">
        <v>829</v>
      </c>
      <c r="B67" s="665">
        <v>74102</v>
      </c>
      <c r="C67" s="652">
        <v>4909</v>
      </c>
      <c r="D67" s="655">
        <v>20729</v>
      </c>
      <c r="E67" s="646">
        <v>22434</v>
      </c>
      <c r="F67" s="634">
        <f t="shared" si="0"/>
        <v>8.2251917603357622E-2</v>
      </c>
    </row>
    <row r="68" spans="1:6" x14ac:dyDescent="0.25">
      <c r="A68" s="651" t="s">
        <v>444</v>
      </c>
      <c r="B68" s="665">
        <v>95054</v>
      </c>
      <c r="C68" s="652">
        <v>19360</v>
      </c>
      <c r="D68" s="655">
        <v>1973</v>
      </c>
      <c r="E68" s="646">
        <v>2083</v>
      </c>
      <c r="F68" s="636">
        <f t="shared" si="0"/>
        <v>5.5752660922453116E-2</v>
      </c>
    </row>
    <row r="69" spans="1:6" x14ac:dyDescent="0.25">
      <c r="A69" s="651" t="s">
        <v>830</v>
      </c>
      <c r="B69" s="665">
        <v>63548</v>
      </c>
      <c r="C69" s="652">
        <v>9499</v>
      </c>
      <c r="D69" s="655">
        <v>4942</v>
      </c>
      <c r="E69" s="646">
        <v>5016</v>
      </c>
      <c r="F69" s="636">
        <f t="shared" ref="F69:F132" si="1">(E69-D69)/D69</f>
        <v>1.4973694860380412E-2</v>
      </c>
    </row>
    <row r="70" spans="1:6" x14ac:dyDescent="0.25">
      <c r="A70" s="651" t="s">
        <v>445</v>
      </c>
      <c r="B70" s="665">
        <v>44583</v>
      </c>
      <c r="C70" s="652">
        <v>8183</v>
      </c>
      <c r="D70" s="655">
        <v>365</v>
      </c>
      <c r="E70" s="646">
        <v>425</v>
      </c>
      <c r="F70" s="636">
        <f t="shared" si="1"/>
        <v>0.16438356164383561</v>
      </c>
    </row>
    <row r="71" spans="1:6" x14ac:dyDescent="0.25">
      <c r="A71" s="651" t="s">
        <v>446</v>
      </c>
      <c r="B71" s="665">
        <v>59615</v>
      </c>
      <c r="C71" s="652">
        <v>15109</v>
      </c>
      <c r="D71" s="655">
        <v>1136</v>
      </c>
      <c r="E71" s="646">
        <v>1119</v>
      </c>
      <c r="F71" s="636">
        <f t="shared" si="1"/>
        <v>-1.4964788732394365E-2</v>
      </c>
    </row>
    <row r="72" spans="1:6" x14ac:dyDescent="0.25">
      <c r="A72" s="651" t="s">
        <v>447</v>
      </c>
      <c r="B72" s="665">
        <v>85208</v>
      </c>
      <c r="C72" s="652">
        <v>18285</v>
      </c>
      <c r="D72" s="655">
        <v>8084</v>
      </c>
      <c r="E72" s="646">
        <v>8538</v>
      </c>
      <c r="F72" s="636">
        <f t="shared" si="1"/>
        <v>5.6160316674913412E-2</v>
      </c>
    </row>
    <row r="73" spans="1:6" x14ac:dyDescent="0.25">
      <c r="A73" s="651" t="s">
        <v>448</v>
      </c>
      <c r="B73" s="665">
        <v>88125</v>
      </c>
      <c r="C73" s="652">
        <v>60252</v>
      </c>
      <c r="D73" s="655">
        <v>129</v>
      </c>
      <c r="E73" s="646">
        <v>105</v>
      </c>
      <c r="F73" s="636">
        <f t="shared" si="1"/>
        <v>-0.18604651162790697</v>
      </c>
    </row>
    <row r="74" spans="1:6" x14ac:dyDescent="0.25">
      <c r="A74" s="651" t="s">
        <v>449</v>
      </c>
      <c r="B74" s="665">
        <v>48654</v>
      </c>
      <c r="C74" s="652">
        <v>12506</v>
      </c>
      <c r="D74" s="655">
        <v>3087</v>
      </c>
      <c r="E74" s="646">
        <v>3126</v>
      </c>
      <c r="F74" s="636">
        <f t="shared" si="1"/>
        <v>1.2633624878522837E-2</v>
      </c>
    </row>
    <row r="75" spans="1:6" x14ac:dyDescent="0.25">
      <c r="A75" s="651" t="s">
        <v>450</v>
      </c>
      <c r="B75" s="665">
        <v>70208</v>
      </c>
      <c r="C75" s="652">
        <v>42967</v>
      </c>
      <c r="D75" s="655">
        <v>456</v>
      </c>
      <c r="E75" s="646">
        <v>458</v>
      </c>
      <c r="F75" s="636">
        <f t="shared" si="1"/>
        <v>4.3859649122807015E-3</v>
      </c>
    </row>
    <row r="76" spans="1:6" x14ac:dyDescent="0.25">
      <c r="A76" s="651" t="s">
        <v>831</v>
      </c>
      <c r="B76" s="665">
        <v>82841</v>
      </c>
      <c r="C76" s="652">
        <v>17809</v>
      </c>
      <c r="D76" s="655">
        <v>4963</v>
      </c>
      <c r="E76" s="646">
        <v>5224</v>
      </c>
      <c r="F76" s="636">
        <f t="shared" si="1"/>
        <v>5.2589159782389684E-2</v>
      </c>
    </row>
    <row r="77" spans="1:6" x14ac:dyDescent="0.25">
      <c r="A77" s="651" t="s">
        <v>451</v>
      </c>
      <c r="B77" s="665">
        <v>55443</v>
      </c>
      <c r="C77" s="652">
        <v>10832</v>
      </c>
      <c r="D77" s="655">
        <v>2249</v>
      </c>
      <c r="E77" s="646">
        <v>2208</v>
      </c>
      <c r="F77" s="636">
        <f t="shared" si="1"/>
        <v>-1.823032458870609E-2</v>
      </c>
    </row>
    <row r="78" spans="1:6" x14ac:dyDescent="0.25">
      <c r="A78" s="651" t="s">
        <v>452</v>
      </c>
      <c r="B78" s="665">
        <v>67656</v>
      </c>
      <c r="C78" s="652">
        <v>25687</v>
      </c>
      <c r="D78" s="655">
        <v>989</v>
      </c>
      <c r="E78" s="646">
        <v>1116</v>
      </c>
      <c r="F78" s="636">
        <f t="shared" si="1"/>
        <v>0.12841253791708795</v>
      </c>
    </row>
    <row r="79" spans="1:6" x14ac:dyDescent="0.25">
      <c r="A79" s="651" t="s">
        <v>453</v>
      </c>
      <c r="B79" s="665">
        <v>145107</v>
      </c>
      <c r="C79" s="652">
        <v>12783</v>
      </c>
      <c r="D79" s="655">
        <v>9188</v>
      </c>
      <c r="E79" s="646">
        <v>9592</v>
      </c>
      <c r="F79" s="636">
        <f t="shared" si="1"/>
        <v>4.397039616891598E-2</v>
      </c>
    </row>
    <row r="80" spans="1:6" x14ac:dyDescent="0.25">
      <c r="A80" s="651" t="s">
        <v>454</v>
      </c>
      <c r="B80" s="665">
        <v>71250</v>
      </c>
      <c r="C80" s="652">
        <v>3456</v>
      </c>
      <c r="D80" s="655">
        <v>73</v>
      </c>
      <c r="E80" s="646">
        <v>81</v>
      </c>
      <c r="F80" s="636">
        <f t="shared" si="1"/>
        <v>0.1095890410958904</v>
      </c>
    </row>
    <row r="81" spans="1:6" x14ac:dyDescent="0.25">
      <c r="A81" s="651" t="s">
        <v>455</v>
      </c>
      <c r="B81" s="665">
        <v>54271</v>
      </c>
      <c r="C81" s="652">
        <v>8470</v>
      </c>
      <c r="D81" s="655">
        <v>7904</v>
      </c>
      <c r="E81" s="646">
        <v>7431</v>
      </c>
      <c r="F81" s="636">
        <f t="shared" si="1"/>
        <v>-5.9843117408906882E-2</v>
      </c>
    </row>
    <row r="82" spans="1:6" x14ac:dyDescent="0.25">
      <c r="A82" s="651" t="s">
        <v>456</v>
      </c>
      <c r="B82" s="665">
        <v>89615</v>
      </c>
      <c r="C82" s="652">
        <v>21388</v>
      </c>
      <c r="D82" s="655">
        <v>2790</v>
      </c>
      <c r="E82" s="646">
        <v>2972</v>
      </c>
      <c r="F82" s="636">
        <f t="shared" si="1"/>
        <v>6.5232974910394259E-2</v>
      </c>
    </row>
    <row r="83" spans="1:6" x14ac:dyDescent="0.25">
      <c r="A83" s="651" t="s">
        <v>457</v>
      </c>
      <c r="B83" s="665">
        <v>69583</v>
      </c>
      <c r="C83" s="652">
        <v>49200</v>
      </c>
      <c r="D83" s="655">
        <v>744</v>
      </c>
      <c r="E83" s="646">
        <v>701</v>
      </c>
      <c r="F83" s="636">
        <f t="shared" si="1"/>
        <v>-5.779569892473118E-2</v>
      </c>
    </row>
    <row r="84" spans="1:6" x14ac:dyDescent="0.25">
      <c r="A84" s="651" t="s">
        <v>458</v>
      </c>
      <c r="B84" s="665">
        <v>24167</v>
      </c>
      <c r="C84" s="652">
        <v>14237</v>
      </c>
      <c r="D84" s="655">
        <v>147</v>
      </c>
      <c r="E84" s="646">
        <v>138</v>
      </c>
      <c r="F84" s="636">
        <f t="shared" si="1"/>
        <v>-6.1224489795918366E-2</v>
      </c>
    </row>
    <row r="85" spans="1:6" x14ac:dyDescent="0.25">
      <c r="A85" s="651" t="s">
        <v>459</v>
      </c>
      <c r="B85" s="665">
        <v>75833</v>
      </c>
      <c r="C85" s="652">
        <v>23365</v>
      </c>
      <c r="D85" s="655">
        <v>542</v>
      </c>
      <c r="E85" s="646">
        <v>513</v>
      </c>
      <c r="F85" s="636">
        <f t="shared" si="1"/>
        <v>-5.350553505535055E-2</v>
      </c>
    </row>
    <row r="86" spans="1:6" x14ac:dyDescent="0.25">
      <c r="A86" s="651" t="s">
        <v>460</v>
      </c>
      <c r="B86" s="665">
        <v>64229</v>
      </c>
      <c r="C86" s="652">
        <v>17102</v>
      </c>
      <c r="D86" s="655">
        <v>3721</v>
      </c>
      <c r="E86" s="646">
        <v>3686</v>
      </c>
      <c r="F86" s="636">
        <f t="shared" si="1"/>
        <v>-9.4060736361193231E-3</v>
      </c>
    </row>
    <row r="87" spans="1:6" x14ac:dyDescent="0.25">
      <c r="A87" s="651" t="s">
        <v>461</v>
      </c>
      <c r="B87" s="665">
        <v>111500</v>
      </c>
      <c r="C87" s="652">
        <v>24623</v>
      </c>
      <c r="D87" s="655">
        <v>1298</v>
      </c>
      <c r="E87" s="646">
        <v>1357</v>
      </c>
      <c r="F87" s="636">
        <f t="shared" si="1"/>
        <v>4.5454545454545456E-2</v>
      </c>
    </row>
    <row r="88" spans="1:6" x14ac:dyDescent="0.25">
      <c r="A88" s="651" t="s">
        <v>462</v>
      </c>
      <c r="B88" s="665">
        <v>61667</v>
      </c>
      <c r="C88" s="652">
        <v>22648</v>
      </c>
      <c r="D88" s="655">
        <v>403</v>
      </c>
      <c r="E88" s="646">
        <v>372</v>
      </c>
      <c r="F88" s="636">
        <f t="shared" si="1"/>
        <v>-7.6923076923076927E-2</v>
      </c>
    </row>
    <row r="89" spans="1:6" x14ac:dyDescent="0.25">
      <c r="A89" s="651" t="s">
        <v>463</v>
      </c>
      <c r="B89" s="665">
        <v>43571</v>
      </c>
      <c r="C89" s="652">
        <v>12696</v>
      </c>
      <c r="D89" s="655">
        <v>299</v>
      </c>
      <c r="E89" s="646">
        <v>294</v>
      </c>
      <c r="F89" s="636">
        <f t="shared" si="1"/>
        <v>-1.6722408026755852E-2</v>
      </c>
    </row>
    <row r="90" spans="1:6" x14ac:dyDescent="0.25">
      <c r="A90" s="659" t="s">
        <v>1283</v>
      </c>
      <c r="B90" s="665">
        <v>76595</v>
      </c>
      <c r="C90" s="652">
        <v>32615</v>
      </c>
      <c r="D90" s="655">
        <v>177</v>
      </c>
      <c r="E90" s="646">
        <v>162</v>
      </c>
      <c r="F90" s="636">
        <f t="shared" si="1"/>
        <v>-8.4745762711864403E-2</v>
      </c>
    </row>
    <row r="91" spans="1:6" x14ac:dyDescent="0.25">
      <c r="A91" s="651" t="s">
        <v>464</v>
      </c>
      <c r="B91" s="665">
        <v>42250</v>
      </c>
      <c r="C91" s="652">
        <v>21670</v>
      </c>
      <c r="D91" s="655">
        <v>122</v>
      </c>
      <c r="E91" s="646">
        <v>130</v>
      </c>
      <c r="F91" s="636">
        <f t="shared" si="1"/>
        <v>6.5573770491803282E-2</v>
      </c>
    </row>
    <row r="92" spans="1:6" x14ac:dyDescent="0.25">
      <c r="A92" s="651" t="s">
        <v>465</v>
      </c>
      <c r="B92" s="665">
        <v>36645</v>
      </c>
      <c r="C92" s="652">
        <v>2533</v>
      </c>
      <c r="D92" s="655">
        <v>338</v>
      </c>
      <c r="E92" s="646">
        <v>341</v>
      </c>
      <c r="F92" s="636">
        <f t="shared" si="1"/>
        <v>8.8757396449704144E-3</v>
      </c>
    </row>
    <row r="93" spans="1:6" x14ac:dyDescent="0.25">
      <c r="A93" s="651" t="s">
        <v>466</v>
      </c>
      <c r="B93" s="665">
        <v>92917</v>
      </c>
      <c r="C93" s="652">
        <v>23205</v>
      </c>
      <c r="D93" s="655">
        <v>473</v>
      </c>
      <c r="E93" s="646">
        <v>498</v>
      </c>
      <c r="F93" s="636">
        <f t="shared" si="1"/>
        <v>5.2854122621564484E-2</v>
      </c>
    </row>
    <row r="94" spans="1:6" x14ac:dyDescent="0.25">
      <c r="A94" s="651" t="s">
        <v>467</v>
      </c>
      <c r="B94" s="665">
        <v>75795</v>
      </c>
      <c r="C94" s="652">
        <v>14376</v>
      </c>
      <c r="D94" s="655">
        <v>1486</v>
      </c>
      <c r="E94" s="646">
        <v>1633</v>
      </c>
      <c r="F94" s="636">
        <f t="shared" si="1"/>
        <v>9.8923283983849267E-2</v>
      </c>
    </row>
    <row r="95" spans="1:6" x14ac:dyDescent="0.25">
      <c r="A95" s="651" t="s">
        <v>468</v>
      </c>
      <c r="B95" s="665">
        <v>56250</v>
      </c>
      <c r="C95" s="652">
        <v>16290</v>
      </c>
      <c r="D95" s="655">
        <v>331</v>
      </c>
      <c r="E95" s="646">
        <v>341</v>
      </c>
      <c r="F95" s="636">
        <f t="shared" si="1"/>
        <v>3.0211480362537766E-2</v>
      </c>
    </row>
    <row r="96" spans="1:6" x14ac:dyDescent="0.25">
      <c r="A96" s="651" t="s">
        <v>469</v>
      </c>
      <c r="B96" s="665">
        <v>63750</v>
      </c>
      <c r="C96" s="652">
        <v>29279</v>
      </c>
      <c r="D96" s="655">
        <v>360</v>
      </c>
      <c r="E96" s="646">
        <v>394</v>
      </c>
      <c r="F96" s="636">
        <f t="shared" si="1"/>
        <v>9.4444444444444442E-2</v>
      </c>
    </row>
    <row r="97" spans="1:6" x14ac:dyDescent="0.25">
      <c r="A97" s="651" t="s">
        <v>470</v>
      </c>
      <c r="B97" s="665">
        <v>82586</v>
      </c>
      <c r="C97" s="652">
        <v>11142</v>
      </c>
      <c r="D97" s="655">
        <v>2719</v>
      </c>
      <c r="E97" s="646">
        <v>2822</v>
      </c>
      <c r="F97" s="636">
        <f t="shared" si="1"/>
        <v>3.7881574108127987E-2</v>
      </c>
    </row>
    <row r="98" spans="1:6" x14ac:dyDescent="0.25">
      <c r="A98" s="651" t="s">
        <v>471</v>
      </c>
      <c r="B98" s="665">
        <v>40000</v>
      </c>
      <c r="C98" s="652">
        <v>14088</v>
      </c>
      <c r="D98" s="655">
        <v>1183</v>
      </c>
      <c r="E98" s="646">
        <v>1108</v>
      </c>
      <c r="F98" s="636">
        <f t="shared" si="1"/>
        <v>-6.3398140321217239E-2</v>
      </c>
    </row>
    <row r="99" spans="1:6" x14ac:dyDescent="0.25">
      <c r="A99" s="651" t="s">
        <v>472</v>
      </c>
      <c r="B99" s="665">
        <v>58750</v>
      </c>
      <c r="C99" s="652">
        <v>17924</v>
      </c>
      <c r="D99" s="655">
        <v>544</v>
      </c>
      <c r="E99" s="646">
        <v>552</v>
      </c>
      <c r="F99" s="636">
        <f t="shared" si="1"/>
        <v>1.4705882352941176E-2</v>
      </c>
    </row>
    <row r="100" spans="1:6" x14ac:dyDescent="0.25">
      <c r="A100" s="651" t="s">
        <v>473</v>
      </c>
      <c r="B100" s="665">
        <v>64167</v>
      </c>
      <c r="C100" s="652">
        <v>10941</v>
      </c>
      <c r="D100" s="655">
        <v>1352</v>
      </c>
      <c r="E100" s="646">
        <v>1366</v>
      </c>
      <c r="F100" s="636">
        <f t="shared" si="1"/>
        <v>1.0355029585798817E-2</v>
      </c>
    </row>
    <row r="101" spans="1:6" x14ac:dyDescent="0.25">
      <c r="A101" s="651" t="s">
        <v>474</v>
      </c>
      <c r="B101" s="665">
        <v>93825</v>
      </c>
      <c r="C101" s="652">
        <v>11311</v>
      </c>
      <c r="D101" s="655">
        <v>4300</v>
      </c>
      <c r="E101" s="646">
        <v>4568</v>
      </c>
      <c r="F101" s="636">
        <f t="shared" si="1"/>
        <v>6.2325581395348835E-2</v>
      </c>
    </row>
    <row r="102" spans="1:6" x14ac:dyDescent="0.25">
      <c r="A102" s="651" t="s">
        <v>475</v>
      </c>
      <c r="B102" s="665">
        <v>73333</v>
      </c>
      <c r="C102" s="652">
        <v>19700</v>
      </c>
      <c r="D102" s="655">
        <v>899</v>
      </c>
      <c r="E102" s="646">
        <v>866</v>
      </c>
      <c r="F102" s="636">
        <f t="shared" si="1"/>
        <v>-3.6707452725250278E-2</v>
      </c>
    </row>
    <row r="103" spans="1:6" x14ac:dyDescent="0.25">
      <c r="A103" s="651" t="s">
        <v>832</v>
      </c>
      <c r="B103" s="665">
        <v>74544</v>
      </c>
      <c r="C103" s="652">
        <v>13986</v>
      </c>
      <c r="D103" s="655">
        <v>3406</v>
      </c>
      <c r="E103" s="646">
        <v>3385</v>
      </c>
      <c r="F103" s="636">
        <f t="shared" si="1"/>
        <v>-6.1655901350557837E-3</v>
      </c>
    </row>
    <row r="104" spans="1:6" hidden="1" x14ac:dyDescent="0.25">
      <c r="A104" s="651" t="s">
        <v>476</v>
      </c>
      <c r="B104" s="665" t="s">
        <v>1284</v>
      </c>
      <c r="C104" s="652" t="s">
        <v>1285</v>
      </c>
      <c r="D104" s="655">
        <v>20</v>
      </c>
      <c r="E104" s="646">
        <v>14</v>
      </c>
      <c r="F104" s="636">
        <f t="shared" si="1"/>
        <v>-0.3</v>
      </c>
    </row>
    <row r="105" spans="1:6" x14ac:dyDescent="0.25">
      <c r="A105" s="651" t="s">
        <v>477</v>
      </c>
      <c r="B105" s="665">
        <v>43393</v>
      </c>
      <c r="C105" s="652">
        <v>6515</v>
      </c>
      <c r="D105" s="655">
        <v>528</v>
      </c>
      <c r="E105" s="646">
        <v>490</v>
      </c>
      <c r="F105" s="636">
        <f t="shared" si="1"/>
        <v>-7.1969696969696975E-2</v>
      </c>
    </row>
    <row r="106" spans="1:6" x14ac:dyDescent="0.25">
      <c r="A106" s="651" t="s">
        <v>478</v>
      </c>
      <c r="B106" s="665">
        <v>65469</v>
      </c>
      <c r="C106" s="652">
        <v>14167</v>
      </c>
      <c r="D106" s="655">
        <v>467</v>
      </c>
      <c r="E106" s="646">
        <v>439</v>
      </c>
      <c r="F106" s="636">
        <f t="shared" si="1"/>
        <v>-5.9957173447537475E-2</v>
      </c>
    </row>
    <row r="107" spans="1:6" x14ac:dyDescent="0.25">
      <c r="A107" s="651" t="s">
        <v>479</v>
      </c>
      <c r="B107" s="665">
        <v>61500</v>
      </c>
      <c r="C107" s="652">
        <v>19791</v>
      </c>
      <c r="D107" s="655">
        <v>444</v>
      </c>
      <c r="E107" s="646">
        <v>423</v>
      </c>
      <c r="F107" s="636">
        <f t="shared" si="1"/>
        <v>-4.72972972972973E-2</v>
      </c>
    </row>
    <row r="108" spans="1:6" x14ac:dyDescent="0.25">
      <c r="A108" s="651" t="s">
        <v>480</v>
      </c>
      <c r="B108" s="665">
        <v>49583</v>
      </c>
      <c r="C108" s="652">
        <v>21832</v>
      </c>
      <c r="D108" s="655">
        <v>158</v>
      </c>
      <c r="E108" s="646">
        <v>171</v>
      </c>
      <c r="F108" s="636">
        <f t="shared" si="1"/>
        <v>8.2278481012658222E-2</v>
      </c>
    </row>
    <row r="109" spans="1:6" x14ac:dyDescent="0.25">
      <c r="A109" s="651" t="s">
        <v>481</v>
      </c>
      <c r="B109" s="665">
        <v>39038</v>
      </c>
      <c r="C109" s="652">
        <v>12954</v>
      </c>
      <c r="D109" s="655">
        <v>155</v>
      </c>
      <c r="E109" s="646">
        <v>132</v>
      </c>
      <c r="F109" s="636">
        <f t="shared" si="1"/>
        <v>-0.14838709677419354</v>
      </c>
    </row>
    <row r="110" spans="1:6" x14ac:dyDescent="0.25">
      <c r="A110" s="651" t="s">
        <v>833</v>
      </c>
      <c r="B110" s="665">
        <v>62566</v>
      </c>
      <c r="C110" s="652">
        <v>13793</v>
      </c>
      <c r="D110" s="655">
        <v>2215</v>
      </c>
      <c r="E110" s="646">
        <v>2240</v>
      </c>
      <c r="F110" s="636">
        <f t="shared" si="1"/>
        <v>1.1286681715575621E-2</v>
      </c>
    </row>
    <row r="111" spans="1:6" x14ac:dyDescent="0.25">
      <c r="A111" s="651" t="s">
        <v>482</v>
      </c>
      <c r="B111" s="665">
        <v>60612</v>
      </c>
      <c r="C111" s="652">
        <v>8175</v>
      </c>
      <c r="D111" s="655">
        <v>2891</v>
      </c>
      <c r="E111" s="646">
        <v>3007</v>
      </c>
      <c r="F111" s="636">
        <f t="shared" si="1"/>
        <v>4.0124524386025595E-2</v>
      </c>
    </row>
    <row r="112" spans="1:6" x14ac:dyDescent="0.25">
      <c r="A112" s="651" t="s">
        <v>834</v>
      </c>
      <c r="B112" s="665">
        <v>69068</v>
      </c>
      <c r="C112" s="652">
        <v>3084</v>
      </c>
      <c r="D112" s="655">
        <v>1439</v>
      </c>
      <c r="E112" s="646">
        <v>1568</v>
      </c>
      <c r="F112" s="636">
        <f t="shared" si="1"/>
        <v>8.9645587213342592E-2</v>
      </c>
    </row>
    <row r="113" spans="1:6" x14ac:dyDescent="0.25">
      <c r="A113" s="651" t="s">
        <v>483</v>
      </c>
      <c r="B113" s="665">
        <v>83750</v>
      </c>
      <c r="C113" s="652">
        <v>18342</v>
      </c>
      <c r="D113" s="655">
        <v>1291</v>
      </c>
      <c r="E113" s="646">
        <v>1351</v>
      </c>
      <c r="F113" s="636">
        <f t="shared" si="1"/>
        <v>4.6475600309837335E-2</v>
      </c>
    </row>
    <row r="114" spans="1:6" x14ac:dyDescent="0.25">
      <c r="A114" s="651" t="s">
        <v>484</v>
      </c>
      <c r="B114" s="665">
        <v>69750</v>
      </c>
      <c r="C114" s="652">
        <v>12844</v>
      </c>
      <c r="D114" s="655">
        <v>148</v>
      </c>
      <c r="E114" s="646">
        <v>161</v>
      </c>
      <c r="F114" s="636">
        <f t="shared" si="1"/>
        <v>8.7837837837837843E-2</v>
      </c>
    </row>
    <row r="115" spans="1:6" x14ac:dyDescent="0.25">
      <c r="A115" s="651" t="s">
        <v>485</v>
      </c>
      <c r="B115" s="665">
        <v>45250</v>
      </c>
      <c r="C115" s="652">
        <v>15621</v>
      </c>
      <c r="D115" s="655">
        <v>97</v>
      </c>
      <c r="E115" s="646">
        <v>96</v>
      </c>
      <c r="F115" s="636">
        <f t="shared" si="1"/>
        <v>-1.0309278350515464E-2</v>
      </c>
    </row>
    <row r="116" spans="1:6" hidden="1" x14ac:dyDescent="0.25">
      <c r="A116" s="659" t="s">
        <v>1286</v>
      </c>
      <c r="B116" s="665" t="s">
        <v>1284</v>
      </c>
      <c r="C116" s="652" t="s">
        <v>1285</v>
      </c>
      <c r="D116" s="655">
        <v>1</v>
      </c>
      <c r="E116" s="646">
        <v>5</v>
      </c>
      <c r="F116" s="636">
        <f t="shared" si="1"/>
        <v>4</v>
      </c>
    </row>
    <row r="117" spans="1:6" x14ac:dyDescent="0.25">
      <c r="A117" s="651" t="s">
        <v>486</v>
      </c>
      <c r="B117" s="665">
        <v>59375</v>
      </c>
      <c r="C117" s="652">
        <v>11260</v>
      </c>
      <c r="D117" s="655">
        <v>262</v>
      </c>
      <c r="E117" s="646">
        <v>250</v>
      </c>
      <c r="F117" s="636">
        <f t="shared" si="1"/>
        <v>-4.5801526717557252E-2</v>
      </c>
    </row>
    <row r="118" spans="1:6" x14ac:dyDescent="0.25">
      <c r="A118" s="651" t="s">
        <v>487</v>
      </c>
      <c r="B118" s="665">
        <v>154375</v>
      </c>
      <c r="C118" s="652">
        <v>27140</v>
      </c>
      <c r="D118" s="655">
        <v>7449</v>
      </c>
      <c r="E118" s="646">
        <v>8754</v>
      </c>
      <c r="F118" s="636">
        <f t="shared" si="1"/>
        <v>0.1751913008457511</v>
      </c>
    </row>
    <row r="119" spans="1:6" x14ac:dyDescent="0.25">
      <c r="A119" s="651" t="s">
        <v>488</v>
      </c>
      <c r="B119" s="665">
        <v>68345</v>
      </c>
      <c r="C119" s="652">
        <v>12630</v>
      </c>
      <c r="D119" s="655">
        <v>1516</v>
      </c>
      <c r="E119" s="646">
        <v>1495</v>
      </c>
      <c r="F119" s="636">
        <f t="shared" si="1"/>
        <v>-1.3852242744063324E-2</v>
      </c>
    </row>
    <row r="120" spans="1:6" x14ac:dyDescent="0.25">
      <c r="A120" s="651" t="s">
        <v>489</v>
      </c>
      <c r="B120" s="665">
        <v>56667</v>
      </c>
      <c r="C120" s="652">
        <v>26970</v>
      </c>
      <c r="D120" s="655">
        <v>508</v>
      </c>
      <c r="E120" s="646">
        <v>527</v>
      </c>
      <c r="F120" s="636">
        <f t="shared" si="1"/>
        <v>3.7401574803149609E-2</v>
      </c>
    </row>
    <row r="121" spans="1:6" x14ac:dyDescent="0.25">
      <c r="A121" s="651" t="s">
        <v>490</v>
      </c>
      <c r="B121" s="665">
        <v>83750</v>
      </c>
      <c r="C121" s="652">
        <v>27623</v>
      </c>
      <c r="D121" s="655">
        <v>95</v>
      </c>
      <c r="E121" s="646">
        <v>79</v>
      </c>
      <c r="F121" s="636">
        <f t="shared" si="1"/>
        <v>-0.16842105263157894</v>
      </c>
    </row>
    <row r="122" spans="1:6" x14ac:dyDescent="0.25">
      <c r="A122" s="651" t="s">
        <v>491</v>
      </c>
      <c r="B122" s="665">
        <v>67500</v>
      </c>
      <c r="C122" s="652">
        <v>19291</v>
      </c>
      <c r="D122" s="655">
        <v>310</v>
      </c>
      <c r="E122" s="646">
        <v>312</v>
      </c>
      <c r="F122" s="636">
        <f t="shared" si="1"/>
        <v>6.4516129032258064E-3</v>
      </c>
    </row>
    <row r="123" spans="1:6" x14ac:dyDescent="0.25">
      <c r="A123" s="651" t="s">
        <v>835</v>
      </c>
      <c r="B123" s="665">
        <v>59659</v>
      </c>
      <c r="C123" s="652">
        <v>11220</v>
      </c>
      <c r="D123" s="655">
        <v>2211</v>
      </c>
      <c r="E123" s="646">
        <v>2304</v>
      </c>
      <c r="F123" s="636">
        <f t="shared" si="1"/>
        <v>4.2062415196743558E-2</v>
      </c>
    </row>
    <row r="124" spans="1:6" x14ac:dyDescent="0.25">
      <c r="A124" s="651" t="s">
        <v>836</v>
      </c>
      <c r="B124" s="665">
        <v>41031</v>
      </c>
      <c r="C124" s="652">
        <v>4927</v>
      </c>
      <c r="D124" s="655">
        <v>586</v>
      </c>
      <c r="E124" s="646">
        <v>589</v>
      </c>
      <c r="F124" s="636">
        <f t="shared" si="1"/>
        <v>5.1194539249146756E-3</v>
      </c>
    </row>
    <row r="125" spans="1:6" x14ac:dyDescent="0.25">
      <c r="A125" s="651" t="s">
        <v>492</v>
      </c>
      <c r="B125" s="665">
        <v>114886</v>
      </c>
      <c r="C125" s="652">
        <v>13385</v>
      </c>
      <c r="D125" s="655">
        <v>2019</v>
      </c>
      <c r="E125" s="646">
        <v>2191</v>
      </c>
      <c r="F125" s="636">
        <f t="shared" si="1"/>
        <v>8.5190688459633485E-2</v>
      </c>
    </row>
    <row r="126" spans="1:6" x14ac:dyDescent="0.25">
      <c r="A126" s="651" t="s">
        <v>493</v>
      </c>
      <c r="B126" s="665">
        <v>35833</v>
      </c>
      <c r="C126" s="652">
        <v>2556</v>
      </c>
      <c r="D126" s="655">
        <v>62</v>
      </c>
      <c r="E126" s="646">
        <v>77</v>
      </c>
      <c r="F126" s="638">
        <f t="shared" si="1"/>
        <v>0.24193548387096775</v>
      </c>
    </row>
    <row r="127" spans="1:6" x14ac:dyDescent="0.25">
      <c r="A127" s="651" t="s">
        <v>494</v>
      </c>
      <c r="B127" s="665">
        <v>96125</v>
      </c>
      <c r="C127" s="652">
        <v>17517</v>
      </c>
      <c r="D127" s="655">
        <v>1683</v>
      </c>
      <c r="E127" s="646">
        <v>1658</v>
      </c>
      <c r="F127" s="636">
        <f t="shared" si="1"/>
        <v>-1.4854426619132501E-2</v>
      </c>
    </row>
    <row r="128" spans="1:6" x14ac:dyDescent="0.25">
      <c r="A128" s="651" t="s">
        <v>495</v>
      </c>
      <c r="B128" s="665">
        <v>65393</v>
      </c>
      <c r="C128" s="652">
        <v>24303</v>
      </c>
      <c r="D128" s="655">
        <v>2065</v>
      </c>
      <c r="E128" s="646">
        <v>2135</v>
      </c>
      <c r="F128" s="636">
        <f t="shared" si="1"/>
        <v>3.3898305084745763E-2</v>
      </c>
    </row>
    <row r="129" spans="1:6" x14ac:dyDescent="0.25">
      <c r="A129" s="651" t="s">
        <v>496</v>
      </c>
      <c r="B129" s="665">
        <v>65938</v>
      </c>
      <c r="C129" s="652">
        <v>10628</v>
      </c>
      <c r="D129" s="655">
        <v>1157</v>
      </c>
      <c r="E129" s="646">
        <v>1231</v>
      </c>
      <c r="F129" s="636">
        <f t="shared" si="1"/>
        <v>6.3958513396715641E-2</v>
      </c>
    </row>
    <row r="130" spans="1:6" x14ac:dyDescent="0.25">
      <c r="A130" s="651" t="s">
        <v>497</v>
      </c>
      <c r="B130" s="665">
        <v>81058</v>
      </c>
      <c r="C130" s="652">
        <v>17150</v>
      </c>
      <c r="D130" s="655">
        <v>42</v>
      </c>
      <c r="E130" s="646">
        <v>57</v>
      </c>
      <c r="F130" s="636">
        <f t="shared" si="1"/>
        <v>0.35714285714285715</v>
      </c>
    </row>
    <row r="131" spans="1:6" x14ac:dyDescent="0.25">
      <c r="A131" s="651" t="s">
        <v>498</v>
      </c>
      <c r="B131" s="665">
        <v>43333</v>
      </c>
      <c r="C131" s="652">
        <v>11709</v>
      </c>
      <c r="D131" s="655">
        <v>332</v>
      </c>
      <c r="E131" s="646">
        <v>315</v>
      </c>
      <c r="F131" s="636">
        <f t="shared" si="1"/>
        <v>-5.1204819277108432E-2</v>
      </c>
    </row>
    <row r="132" spans="1:6" x14ac:dyDescent="0.25">
      <c r="A132" s="651" t="s">
        <v>499</v>
      </c>
      <c r="B132" s="665">
        <v>51964</v>
      </c>
      <c r="C132" s="652">
        <v>14188</v>
      </c>
      <c r="D132" s="655">
        <v>858</v>
      </c>
      <c r="E132" s="646">
        <v>918</v>
      </c>
      <c r="F132" s="636">
        <f t="shared" si="1"/>
        <v>6.9930069930069935E-2</v>
      </c>
    </row>
    <row r="133" spans="1:6" x14ac:dyDescent="0.25">
      <c r="A133" s="651" t="s">
        <v>837</v>
      </c>
      <c r="B133" s="665">
        <v>52353</v>
      </c>
      <c r="C133" s="652">
        <v>18852</v>
      </c>
      <c r="D133" s="655">
        <v>3847</v>
      </c>
      <c r="E133" s="646">
        <v>3812</v>
      </c>
      <c r="F133" s="636">
        <f t="shared" ref="F133:F196" si="2">(E133-D133)/D133</f>
        <v>-9.0979984403431243E-3</v>
      </c>
    </row>
    <row r="134" spans="1:6" x14ac:dyDescent="0.25">
      <c r="A134" s="651" t="s">
        <v>838</v>
      </c>
      <c r="B134" s="665">
        <v>64643</v>
      </c>
      <c r="C134" s="652">
        <v>11281</v>
      </c>
      <c r="D134" s="655">
        <v>2433</v>
      </c>
      <c r="E134" s="646">
        <v>2313</v>
      </c>
      <c r="F134" s="636">
        <f t="shared" si="2"/>
        <v>-4.9321824907521579E-2</v>
      </c>
    </row>
    <row r="135" spans="1:6" x14ac:dyDescent="0.25">
      <c r="A135" s="651" t="s">
        <v>500</v>
      </c>
      <c r="B135" s="665">
        <v>70104</v>
      </c>
      <c r="C135" s="652">
        <v>12827</v>
      </c>
      <c r="D135" s="655">
        <v>1192</v>
      </c>
      <c r="E135" s="646">
        <v>1211</v>
      </c>
      <c r="F135" s="636">
        <f t="shared" si="2"/>
        <v>1.5939597315436243E-2</v>
      </c>
    </row>
    <row r="136" spans="1:6" x14ac:dyDescent="0.25">
      <c r="A136" s="651" t="s">
        <v>839</v>
      </c>
      <c r="B136" s="665">
        <v>58946</v>
      </c>
      <c r="C136" s="652">
        <v>8622</v>
      </c>
      <c r="D136" s="655">
        <v>4227</v>
      </c>
      <c r="E136" s="646">
        <v>4539</v>
      </c>
      <c r="F136" s="636">
        <f t="shared" si="2"/>
        <v>7.3811213626685593E-2</v>
      </c>
    </row>
    <row r="137" spans="1:6" x14ac:dyDescent="0.25">
      <c r="A137" s="651" t="s">
        <v>501</v>
      </c>
      <c r="B137" s="665">
        <v>78150</v>
      </c>
      <c r="C137" s="652">
        <v>23475</v>
      </c>
      <c r="D137" s="655">
        <v>1675</v>
      </c>
      <c r="E137" s="646">
        <v>1796</v>
      </c>
      <c r="F137" s="636">
        <f t="shared" si="2"/>
        <v>7.2238805970149256E-2</v>
      </c>
    </row>
    <row r="138" spans="1:6" x14ac:dyDescent="0.25">
      <c r="A138" s="651" t="s">
        <v>502</v>
      </c>
      <c r="B138" s="665">
        <v>75833</v>
      </c>
      <c r="C138" s="652">
        <v>16873</v>
      </c>
      <c r="D138" s="655">
        <v>34</v>
      </c>
      <c r="E138" s="646">
        <v>26</v>
      </c>
      <c r="F138" s="636">
        <f t="shared" si="2"/>
        <v>-0.23529411764705882</v>
      </c>
    </row>
    <row r="139" spans="1:6" x14ac:dyDescent="0.25">
      <c r="A139" s="651" t="s">
        <v>503</v>
      </c>
      <c r="B139" s="665">
        <v>96492</v>
      </c>
      <c r="C139" s="656">
        <v>4961</v>
      </c>
      <c r="D139" s="655">
        <v>3932</v>
      </c>
      <c r="E139" s="646">
        <v>4283</v>
      </c>
      <c r="F139" s="636">
        <f t="shared" si="2"/>
        <v>8.9267548321464898E-2</v>
      </c>
    </row>
    <row r="140" spans="1:6" x14ac:dyDescent="0.25">
      <c r="A140" s="651" t="s">
        <v>504</v>
      </c>
      <c r="B140" s="665">
        <v>101250</v>
      </c>
      <c r="C140" s="652">
        <v>37590</v>
      </c>
      <c r="D140" s="655">
        <v>210</v>
      </c>
      <c r="E140" s="646">
        <v>214</v>
      </c>
      <c r="F140" s="636">
        <f t="shared" si="2"/>
        <v>1.9047619047619049E-2</v>
      </c>
    </row>
    <row r="141" spans="1:6" x14ac:dyDescent="0.25">
      <c r="A141" s="651" t="s">
        <v>505</v>
      </c>
      <c r="B141" s="665">
        <v>53125</v>
      </c>
      <c r="C141" s="652">
        <v>23322</v>
      </c>
      <c r="D141" s="655">
        <v>833</v>
      </c>
      <c r="E141" s="646">
        <v>766</v>
      </c>
      <c r="F141" s="636">
        <f t="shared" si="2"/>
        <v>-8.0432172869147653E-2</v>
      </c>
    </row>
    <row r="142" spans="1:6" x14ac:dyDescent="0.25">
      <c r="A142" s="651" t="s">
        <v>506</v>
      </c>
      <c r="B142" s="665">
        <v>61250</v>
      </c>
      <c r="C142" s="652">
        <v>20735</v>
      </c>
      <c r="D142" s="655">
        <v>810</v>
      </c>
      <c r="E142" s="646">
        <v>817</v>
      </c>
      <c r="F142" s="636">
        <f t="shared" si="2"/>
        <v>8.6419753086419745E-3</v>
      </c>
    </row>
    <row r="143" spans="1:6" x14ac:dyDescent="0.25">
      <c r="A143" s="651" t="s">
        <v>507</v>
      </c>
      <c r="B143" s="665">
        <v>37097</v>
      </c>
      <c r="C143" s="652">
        <v>5538</v>
      </c>
      <c r="D143" s="655">
        <v>331</v>
      </c>
      <c r="E143" s="646">
        <v>310</v>
      </c>
      <c r="F143" s="636">
        <f t="shared" si="2"/>
        <v>-6.3444108761329304E-2</v>
      </c>
    </row>
    <row r="144" spans="1:6" x14ac:dyDescent="0.25">
      <c r="A144" s="651" t="s">
        <v>508</v>
      </c>
      <c r="B144" s="665">
        <v>51657</v>
      </c>
      <c r="C144" s="652">
        <v>2776</v>
      </c>
      <c r="D144" s="655">
        <v>718</v>
      </c>
      <c r="E144" s="646">
        <v>732</v>
      </c>
      <c r="F144" s="636">
        <f t="shared" si="2"/>
        <v>1.9498607242339833E-2</v>
      </c>
    </row>
    <row r="145" spans="1:6" x14ac:dyDescent="0.25">
      <c r="A145" s="651" t="s">
        <v>509</v>
      </c>
      <c r="B145" s="665">
        <v>80625</v>
      </c>
      <c r="C145" s="652">
        <v>26228</v>
      </c>
      <c r="D145" s="655">
        <v>89</v>
      </c>
      <c r="E145" s="646">
        <v>80</v>
      </c>
      <c r="F145" s="636">
        <f t="shared" si="2"/>
        <v>-0.10112359550561797</v>
      </c>
    </row>
    <row r="146" spans="1:6" x14ac:dyDescent="0.25">
      <c r="A146" s="651" t="s">
        <v>510</v>
      </c>
      <c r="B146" s="665">
        <v>56597</v>
      </c>
      <c r="C146" s="652">
        <v>9181</v>
      </c>
      <c r="D146" s="655">
        <v>1343</v>
      </c>
      <c r="E146" s="646">
        <v>1343</v>
      </c>
      <c r="F146" s="636">
        <f t="shared" si="2"/>
        <v>0</v>
      </c>
    </row>
    <row r="147" spans="1:6" x14ac:dyDescent="0.25">
      <c r="A147" s="651" t="s">
        <v>840</v>
      </c>
      <c r="B147" s="665">
        <v>44306</v>
      </c>
      <c r="C147" s="652">
        <v>9775</v>
      </c>
      <c r="D147" s="655">
        <v>1669</v>
      </c>
      <c r="E147" s="646">
        <v>1568</v>
      </c>
      <c r="F147" s="636">
        <f t="shared" si="2"/>
        <v>-6.0515278609946078E-2</v>
      </c>
    </row>
    <row r="148" spans="1:6" x14ac:dyDescent="0.25">
      <c r="A148" s="651" t="s">
        <v>511</v>
      </c>
      <c r="B148" s="665">
        <v>63000</v>
      </c>
      <c r="C148" s="652">
        <v>16494</v>
      </c>
      <c r="D148" s="655">
        <v>427</v>
      </c>
      <c r="E148" s="646">
        <v>431</v>
      </c>
      <c r="F148" s="636">
        <f t="shared" si="2"/>
        <v>9.3676814988290398E-3</v>
      </c>
    </row>
    <row r="149" spans="1:6" x14ac:dyDescent="0.25">
      <c r="A149" s="651" t="s">
        <v>512</v>
      </c>
      <c r="B149" s="665">
        <v>44410</v>
      </c>
      <c r="C149" s="652">
        <v>7593</v>
      </c>
      <c r="D149" s="655">
        <v>1294</v>
      </c>
      <c r="E149" s="646">
        <v>1324</v>
      </c>
      <c r="F149" s="636">
        <f t="shared" si="2"/>
        <v>2.3183925811437404E-2</v>
      </c>
    </row>
    <row r="150" spans="1:6" x14ac:dyDescent="0.25">
      <c r="A150" s="651" t="s">
        <v>513</v>
      </c>
      <c r="B150" s="665">
        <v>46205</v>
      </c>
      <c r="C150" s="652">
        <v>8501</v>
      </c>
      <c r="D150" s="655">
        <v>1305</v>
      </c>
      <c r="E150" s="646">
        <v>1300</v>
      </c>
      <c r="F150" s="636">
        <f t="shared" si="2"/>
        <v>-3.8314176245210726E-3</v>
      </c>
    </row>
    <row r="151" spans="1:6" x14ac:dyDescent="0.25">
      <c r="A151" s="651" t="s">
        <v>514</v>
      </c>
      <c r="B151" s="665">
        <v>75129</v>
      </c>
      <c r="C151" s="652">
        <v>14374</v>
      </c>
      <c r="D151" s="655">
        <v>2216</v>
      </c>
      <c r="E151" s="646">
        <v>2239</v>
      </c>
      <c r="F151" s="636">
        <f t="shared" si="2"/>
        <v>1.0379061371841155E-2</v>
      </c>
    </row>
    <row r="152" spans="1:6" x14ac:dyDescent="0.25">
      <c r="A152" s="651" t="s">
        <v>515</v>
      </c>
      <c r="B152" s="665">
        <v>89844</v>
      </c>
      <c r="C152" s="652">
        <v>32253</v>
      </c>
      <c r="D152" s="655">
        <v>1217</v>
      </c>
      <c r="E152" s="646">
        <v>1220</v>
      </c>
      <c r="F152" s="636">
        <f t="shared" si="2"/>
        <v>2.4650780608052587E-3</v>
      </c>
    </row>
    <row r="153" spans="1:6" x14ac:dyDescent="0.25">
      <c r="A153" s="651" t="s">
        <v>516</v>
      </c>
      <c r="B153" s="665">
        <v>64750</v>
      </c>
      <c r="C153" s="652">
        <v>32572</v>
      </c>
      <c r="D153" s="655">
        <v>131</v>
      </c>
      <c r="E153" s="646">
        <v>135</v>
      </c>
      <c r="F153" s="636">
        <f t="shared" si="2"/>
        <v>3.0534351145038167E-2</v>
      </c>
    </row>
    <row r="154" spans="1:6" x14ac:dyDescent="0.25">
      <c r="A154" s="651" t="s">
        <v>517</v>
      </c>
      <c r="B154" s="665">
        <v>100472</v>
      </c>
      <c r="C154" s="652">
        <v>13021</v>
      </c>
      <c r="D154" s="655">
        <v>6144</v>
      </c>
      <c r="E154" s="646">
        <v>7317</v>
      </c>
      <c r="F154" s="636">
        <f t="shared" si="2"/>
        <v>0.19091796875</v>
      </c>
    </row>
    <row r="155" spans="1:6" x14ac:dyDescent="0.25">
      <c r="A155" s="651" t="s">
        <v>518</v>
      </c>
      <c r="B155" s="665">
        <v>70990</v>
      </c>
      <c r="C155" s="652">
        <v>10987</v>
      </c>
      <c r="D155" s="655">
        <v>7932</v>
      </c>
      <c r="E155" s="646">
        <v>8711</v>
      </c>
      <c r="F155" s="636">
        <f t="shared" si="2"/>
        <v>9.8209783156833083E-2</v>
      </c>
    </row>
    <row r="156" spans="1:6" x14ac:dyDescent="0.25">
      <c r="A156" s="651" t="s">
        <v>519</v>
      </c>
      <c r="B156" s="665">
        <v>55750</v>
      </c>
      <c r="C156" s="652">
        <v>21366</v>
      </c>
      <c r="D156" s="655">
        <v>928</v>
      </c>
      <c r="E156" s="646">
        <v>944</v>
      </c>
      <c r="F156" s="636">
        <f t="shared" si="2"/>
        <v>1.7241379310344827E-2</v>
      </c>
    </row>
    <row r="157" spans="1:6" x14ac:dyDescent="0.25">
      <c r="A157" s="651" t="s">
        <v>520</v>
      </c>
      <c r="B157" s="665">
        <v>59125</v>
      </c>
      <c r="C157" s="652">
        <v>7933</v>
      </c>
      <c r="D157" s="655">
        <v>1549</v>
      </c>
      <c r="E157" s="646">
        <v>1441</v>
      </c>
      <c r="F157" s="636">
        <f t="shared" si="2"/>
        <v>-6.9722401549386706E-2</v>
      </c>
    </row>
    <row r="158" spans="1:6" x14ac:dyDescent="0.25">
      <c r="A158" s="651" t="s">
        <v>521</v>
      </c>
      <c r="B158" s="665">
        <v>68788</v>
      </c>
      <c r="C158" s="652">
        <v>14138</v>
      </c>
      <c r="D158" s="655">
        <v>1247</v>
      </c>
      <c r="E158" s="646">
        <v>1236</v>
      </c>
      <c r="F158" s="636">
        <f t="shared" si="2"/>
        <v>-8.8211708099438652E-3</v>
      </c>
    </row>
    <row r="159" spans="1:6" x14ac:dyDescent="0.25">
      <c r="A159" s="651" t="s">
        <v>522</v>
      </c>
      <c r="B159" s="665">
        <v>25982</v>
      </c>
      <c r="C159" s="652">
        <v>15594</v>
      </c>
      <c r="D159" s="655">
        <v>630</v>
      </c>
      <c r="E159" s="646">
        <v>670</v>
      </c>
      <c r="F159" s="636">
        <f t="shared" si="2"/>
        <v>6.3492063492063489E-2</v>
      </c>
    </row>
    <row r="160" spans="1:6" x14ac:dyDescent="0.25">
      <c r="A160" s="651" t="s">
        <v>523</v>
      </c>
      <c r="B160" s="665">
        <v>76875</v>
      </c>
      <c r="C160" s="652">
        <v>15763</v>
      </c>
      <c r="D160" s="655">
        <v>1044</v>
      </c>
      <c r="E160" s="646">
        <v>986</v>
      </c>
      <c r="F160" s="636">
        <f t="shared" si="2"/>
        <v>-5.5555555555555552E-2</v>
      </c>
    </row>
    <row r="161" spans="1:6" x14ac:dyDescent="0.25">
      <c r="A161" s="651" t="s">
        <v>841</v>
      </c>
      <c r="B161" s="665">
        <v>62557</v>
      </c>
      <c r="C161" s="652">
        <v>15495</v>
      </c>
      <c r="D161" s="655">
        <v>6680</v>
      </c>
      <c r="E161" s="646">
        <v>6540</v>
      </c>
      <c r="F161" s="636">
        <f t="shared" si="2"/>
        <v>-2.0958083832335328E-2</v>
      </c>
    </row>
    <row r="162" spans="1:6" x14ac:dyDescent="0.25">
      <c r="A162" s="651" t="s">
        <v>842</v>
      </c>
      <c r="B162" s="665">
        <v>137991</v>
      </c>
      <c r="C162" s="652">
        <v>29800</v>
      </c>
      <c r="D162" s="655">
        <v>11492</v>
      </c>
      <c r="E162" s="646">
        <v>12868</v>
      </c>
      <c r="F162" s="636">
        <f t="shared" si="2"/>
        <v>0.11973546815175774</v>
      </c>
    </row>
    <row r="163" spans="1:6" x14ac:dyDescent="0.25">
      <c r="A163" s="651" t="s">
        <v>843</v>
      </c>
      <c r="B163" s="665">
        <v>60000</v>
      </c>
      <c r="C163" s="652">
        <v>17029</v>
      </c>
      <c r="D163" s="655">
        <v>2956</v>
      </c>
      <c r="E163" s="646">
        <v>3018</v>
      </c>
      <c r="F163" s="636">
        <f t="shared" si="2"/>
        <v>2.097428958051421E-2</v>
      </c>
    </row>
    <row r="164" spans="1:6" x14ac:dyDescent="0.25">
      <c r="A164" s="651" t="s">
        <v>844</v>
      </c>
      <c r="B164" s="665">
        <v>53204</v>
      </c>
      <c r="C164" s="652">
        <v>6315</v>
      </c>
      <c r="D164" s="655">
        <v>7588</v>
      </c>
      <c r="E164" s="646">
        <v>8425</v>
      </c>
      <c r="F164" s="636">
        <f t="shared" si="2"/>
        <v>0.110305745914602</v>
      </c>
    </row>
    <row r="165" spans="1:6" x14ac:dyDescent="0.25">
      <c r="A165" s="651" t="s">
        <v>524</v>
      </c>
      <c r="B165" s="665">
        <v>56250</v>
      </c>
      <c r="C165" s="652">
        <v>12030</v>
      </c>
      <c r="D165" s="655">
        <v>1127</v>
      </c>
      <c r="E165" s="646">
        <v>1237</v>
      </c>
      <c r="F165" s="636">
        <f t="shared" si="2"/>
        <v>9.7604259094942331E-2</v>
      </c>
    </row>
    <row r="166" spans="1:6" x14ac:dyDescent="0.25">
      <c r="A166" s="651" t="s">
        <v>845</v>
      </c>
      <c r="B166" s="665">
        <v>68112</v>
      </c>
      <c r="C166" s="652">
        <v>17974</v>
      </c>
      <c r="D166" s="655">
        <v>3456</v>
      </c>
      <c r="E166" s="646">
        <v>3338</v>
      </c>
      <c r="F166" s="636">
        <f t="shared" si="2"/>
        <v>-3.4143518518518517E-2</v>
      </c>
    </row>
    <row r="167" spans="1:6" x14ac:dyDescent="0.25">
      <c r="A167" s="651" t="s">
        <v>846</v>
      </c>
      <c r="B167" s="665">
        <v>60701</v>
      </c>
      <c r="C167" s="652">
        <v>10628</v>
      </c>
      <c r="D167" s="655">
        <v>4117</v>
      </c>
      <c r="E167" s="646">
        <v>4222</v>
      </c>
      <c r="F167" s="636">
        <f t="shared" si="2"/>
        <v>2.5504007772649988E-2</v>
      </c>
    </row>
    <row r="168" spans="1:6" x14ac:dyDescent="0.25">
      <c r="A168" s="651" t="s">
        <v>525</v>
      </c>
      <c r="B168" s="665">
        <v>64750</v>
      </c>
      <c r="C168" s="652">
        <v>31612</v>
      </c>
      <c r="D168" s="655">
        <v>1149</v>
      </c>
      <c r="E168" s="646">
        <v>1253</v>
      </c>
      <c r="F168" s="636">
        <f t="shared" si="2"/>
        <v>9.0513489991296783E-2</v>
      </c>
    </row>
    <row r="169" spans="1:6" x14ac:dyDescent="0.25">
      <c r="A169" s="651" t="s">
        <v>526</v>
      </c>
      <c r="B169" s="665">
        <v>68354</v>
      </c>
      <c r="C169" s="652">
        <v>8316</v>
      </c>
      <c r="D169" s="655">
        <v>1502</v>
      </c>
      <c r="E169" s="646">
        <v>1607</v>
      </c>
      <c r="F169" s="636">
        <f t="shared" si="2"/>
        <v>6.9906790945406125E-2</v>
      </c>
    </row>
    <row r="170" spans="1:6" x14ac:dyDescent="0.25">
      <c r="A170" s="651" t="s">
        <v>527</v>
      </c>
      <c r="B170" s="665">
        <v>70417</v>
      </c>
      <c r="C170" s="652">
        <v>13712</v>
      </c>
      <c r="D170" s="655">
        <v>725</v>
      </c>
      <c r="E170" s="646">
        <v>726</v>
      </c>
      <c r="F170" s="636">
        <f t="shared" si="2"/>
        <v>1.3793103448275861E-3</v>
      </c>
    </row>
    <row r="171" spans="1:6" x14ac:dyDescent="0.25">
      <c r="A171" s="651" t="s">
        <v>847</v>
      </c>
      <c r="B171" s="665">
        <v>108864</v>
      </c>
      <c r="C171" s="652">
        <v>23791</v>
      </c>
      <c r="D171" s="655">
        <v>8152</v>
      </c>
      <c r="E171" s="646">
        <v>8781</v>
      </c>
      <c r="F171" s="636">
        <f t="shared" si="2"/>
        <v>7.7158979391560356E-2</v>
      </c>
    </row>
    <row r="172" spans="1:6" x14ac:dyDescent="0.25">
      <c r="A172" s="659" t="s">
        <v>1287</v>
      </c>
      <c r="B172" s="665">
        <v>41750</v>
      </c>
      <c r="C172" s="652">
        <v>15518</v>
      </c>
      <c r="D172" s="655">
        <v>52</v>
      </c>
      <c r="E172" s="646">
        <v>30</v>
      </c>
      <c r="F172" s="636">
        <f t="shared" si="2"/>
        <v>-0.42307692307692307</v>
      </c>
    </row>
    <row r="173" spans="1:6" x14ac:dyDescent="0.25">
      <c r="A173" s="651" t="s">
        <v>528</v>
      </c>
      <c r="B173" s="665">
        <v>50000</v>
      </c>
      <c r="C173" s="652">
        <v>19613</v>
      </c>
      <c r="D173" s="655">
        <v>1064</v>
      </c>
      <c r="E173" s="646">
        <v>1048</v>
      </c>
      <c r="F173" s="636">
        <f t="shared" si="2"/>
        <v>-1.5037593984962405E-2</v>
      </c>
    </row>
    <row r="174" spans="1:6" x14ac:dyDescent="0.25">
      <c r="A174" s="651" t="s">
        <v>529</v>
      </c>
      <c r="B174" s="665">
        <v>66618</v>
      </c>
      <c r="C174" s="652">
        <v>22228</v>
      </c>
      <c r="D174" s="655">
        <v>1146</v>
      </c>
      <c r="E174" s="646">
        <v>1151</v>
      </c>
      <c r="F174" s="636">
        <f t="shared" si="2"/>
        <v>4.3630017452006981E-3</v>
      </c>
    </row>
    <row r="175" spans="1:6" hidden="1" x14ac:dyDescent="0.25">
      <c r="A175" s="651" t="s">
        <v>530</v>
      </c>
      <c r="B175" s="665" t="s">
        <v>1284</v>
      </c>
      <c r="C175" s="652" t="s">
        <v>1285</v>
      </c>
      <c r="D175" s="655">
        <v>19</v>
      </c>
      <c r="E175" s="646">
        <v>29</v>
      </c>
      <c r="F175" s="636">
        <f t="shared" si="2"/>
        <v>0.52631578947368418</v>
      </c>
    </row>
    <row r="176" spans="1:6" x14ac:dyDescent="0.25">
      <c r="A176" s="651" t="s">
        <v>848</v>
      </c>
      <c r="B176" s="665">
        <v>54048</v>
      </c>
      <c r="C176" s="652">
        <v>15807</v>
      </c>
      <c r="D176" s="655">
        <v>3390</v>
      </c>
      <c r="E176" s="646">
        <v>3533</v>
      </c>
      <c r="F176" s="636">
        <f t="shared" si="2"/>
        <v>4.2182890855457227E-2</v>
      </c>
    </row>
    <row r="177" spans="1:6" x14ac:dyDescent="0.25">
      <c r="A177" s="651" t="s">
        <v>531</v>
      </c>
      <c r="B177" s="665">
        <v>58152</v>
      </c>
      <c r="C177" s="652">
        <v>12377</v>
      </c>
      <c r="D177" s="655">
        <v>5778</v>
      </c>
      <c r="E177" s="646">
        <v>6159</v>
      </c>
      <c r="F177" s="636">
        <f t="shared" si="2"/>
        <v>6.5939771547248185E-2</v>
      </c>
    </row>
    <row r="178" spans="1:6" x14ac:dyDescent="0.25">
      <c r="A178" s="651" t="s">
        <v>532</v>
      </c>
      <c r="B178" s="665">
        <v>45250</v>
      </c>
      <c r="C178" s="652">
        <v>9741</v>
      </c>
      <c r="D178" s="655">
        <v>81</v>
      </c>
      <c r="E178" s="646">
        <v>80</v>
      </c>
      <c r="F178" s="636">
        <f t="shared" si="2"/>
        <v>-1.2345679012345678E-2</v>
      </c>
    </row>
    <row r="179" spans="1:6" x14ac:dyDescent="0.25">
      <c r="A179" s="651" t="s">
        <v>533</v>
      </c>
      <c r="B179" s="665">
        <v>53083</v>
      </c>
      <c r="C179" s="652">
        <v>10556</v>
      </c>
      <c r="D179" s="655">
        <v>1078</v>
      </c>
      <c r="E179" s="646">
        <v>1028</v>
      </c>
      <c r="F179" s="636">
        <f t="shared" si="2"/>
        <v>-4.6382189239332093E-2</v>
      </c>
    </row>
    <row r="180" spans="1:6" x14ac:dyDescent="0.25">
      <c r="A180" s="651" t="s">
        <v>534</v>
      </c>
      <c r="B180" s="665">
        <v>82986</v>
      </c>
      <c r="C180" s="652">
        <v>22078</v>
      </c>
      <c r="D180" s="655">
        <v>1022</v>
      </c>
      <c r="E180" s="646">
        <v>1091</v>
      </c>
      <c r="F180" s="636">
        <f t="shared" si="2"/>
        <v>6.7514677103718196E-2</v>
      </c>
    </row>
    <row r="181" spans="1:6" x14ac:dyDescent="0.25">
      <c r="A181" s="651" t="s">
        <v>535</v>
      </c>
      <c r="B181" s="665">
        <v>48393</v>
      </c>
      <c r="C181" s="652">
        <v>16800</v>
      </c>
      <c r="D181" s="655">
        <v>203</v>
      </c>
      <c r="E181" s="646">
        <v>199</v>
      </c>
      <c r="F181" s="636">
        <f t="shared" si="2"/>
        <v>-1.9704433497536946E-2</v>
      </c>
    </row>
    <row r="182" spans="1:6" x14ac:dyDescent="0.25">
      <c r="A182" s="651" t="s">
        <v>536</v>
      </c>
      <c r="B182" s="665">
        <v>92862</v>
      </c>
      <c r="C182" s="652">
        <v>20308</v>
      </c>
      <c r="D182" s="655">
        <v>4645</v>
      </c>
      <c r="E182" s="646">
        <v>4769</v>
      </c>
      <c r="F182" s="636">
        <f t="shared" si="2"/>
        <v>2.6695371367061356E-2</v>
      </c>
    </row>
    <row r="183" spans="1:6" hidden="1" x14ac:dyDescent="0.25">
      <c r="A183" s="659" t="s">
        <v>1288</v>
      </c>
      <c r="B183" s="665" t="s">
        <v>1284</v>
      </c>
      <c r="C183" s="652" t="s">
        <v>1285</v>
      </c>
      <c r="D183" s="655">
        <v>3</v>
      </c>
      <c r="E183" s="646">
        <v>4</v>
      </c>
      <c r="F183" s="636">
        <f t="shared" si="2"/>
        <v>0.33333333333333331</v>
      </c>
    </row>
    <row r="184" spans="1:6" x14ac:dyDescent="0.25">
      <c r="A184" s="651" t="s">
        <v>849</v>
      </c>
      <c r="B184" s="665">
        <v>110181</v>
      </c>
      <c r="C184" s="652">
        <v>6578</v>
      </c>
      <c r="D184" s="655">
        <v>16929</v>
      </c>
      <c r="E184" s="646">
        <v>18346</v>
      </c>
      <c r="F184" s="636">
        <f t="shared" si="2"/>
        <v>8.3702522299013524E-2</v>
      </c>
    </row>
    <row r="185" spans="1:6" x14ac:dyDescent="0.25">
      <c r="A185" s="651" t="s">
        <v>537</v>
      </c>
      <c r="B185" s="665">
        <v>61518</v>
      </c>
      <c r="C185" s="652">
        <v>9217</v>
      </c>
      <c r="D185" s="655">
        <v>1730</v>
      </c>
      <c r="E185" s="646">
        <v>1736</v>
      </c>
      <c r="F185" s="636">
        <f t="shared" si="2"/>
        <v>3.4682080924855491E-3</v>
      </c>
    </row>
    <row r="186" spans="1:6" x14ac:dyDescent="0.25">
      <c r="A186" s="651" t="s">
        <v>850</v>
      </c>
      <c r="B186" s="665">
        <v>34167</v>
      </c>
      <c r="C186" s="652">
        <v>12337</v>
      </c>
      <c r="D186" s="655">
        <v>432</v>
      </c>
      <c r="E186" s="646">
        <v>366</v>
      </c>
      <c r="F186" s="636">
        <f t="shared" si="2"/>
        <v>-0.15277777777777779</v>
      </c>
    </row>
    <row r="187" spans="1:6" x14ac:dyDescent="0.25">
      <c r="A187" s="651" t="s">
        <v>538</v>
      </c>
      <c r="B187" s="665">
        <v>58125</v>
      </c>
      <c r="C187" s="652">
        <v>55840</v>
      </c>
      <c r="D187" s="655">
        <v>115</v>
      </c>
      <c r="E187" s="646">
        <v>130</v>
      </c>
      <c r="F187" s="636">
        <f t="shared" si="2"/>
        <v>0.13043478260869565</v>
      </c>
    </row>
    <row r="188" spans="1:6" x14ac:dyDescent="0.25">
      <c r="A188" s="651" t="s">
        <v>851</v>
      </c>
      <c r="B188" s="665">
        <v>94554</v>
      </c>
      <c r="C188" s="652">
        <v>19132</v>
      </c>
      <c r="D188" s="655">
        <v>7880</v>
      </c>
      <c r="E188" s="646">
        <v>8395</v>
      </c>
      <c r="F188" s="636">
        <f t="shared" si="2"/>
        <v>6.535532994923858E-2</v>
      </c>
    </row>
    <row r="189" spans="1:6" x14ac:dyDescent="0.25">
      <c r="A189" s="651" t="s">
        <v>539</v>
      </c>
      <c r="B189" s="665">
        <v>51250</v>
      </c>
      <c r="C189" s="652">
        <v>9072</v>
      </c>
      <c r="D189" s="655">
        <v>60</v>
      </c>
      <c r="E189" s="646">
        <v>62</v>
      </c>
      <c r="F189" s="636">
        <f t="shared" si="2"/>
        <v>3.3333333333333333E-2</v>
      </c>
    </row>
    <row r="190" spans="1:6" x14ac:dyDescent="0.25">
      <c r="A190" s="651" t="s">
        <v>540</v>
      </c>
      <c r="B190" s="665">
        <v>59625</v>
      </c>
      <c r="C190" s="652">
        <v>6295</v>
      </c>
      <c r="D190" s="655">
        <v>1476</v>
      </c>
      <c r="E190" s="646">
        <v>1472</v>
      </c>
      <c r="F190" s="636">
        <f t="shared" si="2"/>
        <v>-2.7100271002710027E-3</v>
      </c>
    </row>
    <row r="191" spans="1:6" x14ac:dyDescent="0.25">
      <c r="A191" s="651" t="s">
        <v>541</v>
      </c>
      <c r="B191" s="665">
        <v>91736</v>
      </c>
      <c r="C191" s="656">
        <v>15311</v>
      </c>
      <c r="D191" s="655">
        <v>4340</v>
      </c>
      <c r="E191" s="646">
        <v>4420</v>
      </c>
      <c r="F191" s="636">
        <f t="shared" si="2"/>
        <v>1.8433179723502304E-2</v>
      </c>
    </row>
    <row r="192" spans="1:6" x14ac:dyDescent="0.25">
      <c r="A192" s="651" t="s">
        <v>852</v>
      </c>
      <c r="B192" s="665">
        <v>60230</v>
      </c>
      <c r="C192" s="652">
        <v>12815</v>
      </c>
      <c r="D192" s="655">
        <v>1563</v>
      </c>
      <c r="E192" s="646">
        <v>1614</v>
      </c>
      <c r="F192" s="636">
        <f t="shared" si="2"/>
        <v>3.2629558541266791E-2</v>
      </c>
    </row>
    <row r="193" spans="1:6" x14ac:dyDescent="0.25">
      <c r="A193" s="651" t="s">
        <v>542</v>
      </c>
      <c r="B193" s="665">
        <v>54464</v>
      </c>
      <c r="C193" s="652">
        <v>21058</v>
      </c>
      <c r="D193" s="655">
        <v>807</v>
      </c>
      <c r="E193" s="646">
        <v>778</v>
      </c>
      <c r="F193" s="636">
        <f t="shared" si="2"/>
        <v>-3.5935563816604711E-2</v>
      </c>
    </row>
    <row r="194" spans="1:6" x14ac:dyDescent="0.25">
      <c r="A194" s="651" t="s">
        <v>853</v>
      </c>
      <c r="B194" s="665">
        <v>43690</v>
      </c>
      <c r="C194" s="652">
        <v>16882</v>
      </c>
      <c r="D194" s="655">
        <v>1426</v>
      </c>
      <c r="E194" s="646">
        <v>1308</v>
      </c>
      <c r="F194" s="636">
        <f t="shared" si="2"/>
        <v>-8.2748948106591863E-2</v>
      </c>
    </row>
    <row r="195" spans="1:6" x14ac:dyDescent="0.25">
      <c r="A195" s="651" t="s">
        <v>543</v>
      </c>
      <c r="B195" s="665">
        <v>58811</v>
      </c>
      <c r="C195" s="652">
        <v>9665</v>
      </c>
      <c r="D195" s="655">
        <v>2405</v>
      </c>
      <c r="E195" s="646">
        <v>2613</v>
      </c>
      <c r="F195" s="636">
        <f t="shared" si="2"/>
        <v>8.6486486486486491E-2</v>
      </c>
    </row>
    <row r="196" spans="1:6" x14ac:dyDescent="0.25">
      <c r="A196" s="651" t="s">
        <v>544</v>
      </c>
      <c r="B196" s="665">
        <v>56750</v>
      </c>
      <c r="C196" s="652">
        <v>10139</v>
      </c>
      <c r="D196" s="655">
        <v>200</v>
      </c>
      <c r="E196" s="646">
        <v>163</v>
      </c>
      <c r="F196" s="636">
        <f t="shared" si="2"/>
        <v>-0.185</v>
      </c>
    </row>
    <row r="197" spans="1:6" x14ac:dyDescent="0.25">
      <c r="A197" s="651" t="s">
        <v>545</v>
      </c>
      <c r="B197" s="665">
        <v>61250</v>
      </c>
      <c r="C197" s="652">
        <v>14933</v>
      </c>
      <c r="D197" s="655">
        <v>108</v>
      </c>
      <c r="E197" s="646">
        <v>95</v>
      </c>
      <c r="F197" s="636">
        <f t="shared" ref="F197:F260" si="3">(E197-D197)/D197</f>
        <v>-0.12037037037037036</v>
      </c>
    </row>
    <row r="198" spans="1:6" x14ac:dyDescent="0.25">
      <c r="A198" s="651" t="s">
        <v>854</v>
      </c>
      <c r="B198" s="665">
        <v>107901</v>
      </c>
      <c r="C198" s="652">
        <v>12496</v>
      </c>
      <c r="D198" s="655">
        <v>7343</v>
      </c>
      <c r="E198" s="646">
        <v>7975</v>
      </c>
      <c r="F198" s="636">
        <f t="shared" si="3"/>
        <v>8.6068364428707619E-2</v>
      </c>
    </row>
    <row r="199" spans="1:6" x14ac:dyDescent="0.25">
      <c r="A199" s="651" t="s">
        <v>546</v>
      </c>
      <c r="B199" s="665">
        <v>70110</v>
      </c>
      <c r="C199" s="652">
        <v>5500</v>
      </c>
      <c r="D199" s="655">
        <v>2415</v>
      </c>
      <c r="E199" s="646">
        <v>2508</v>
      </c>
      <c r="F199" s="636">
        <f t="shared" si="3"/>
        <v>3.8509316770186333E-2</v>
      </c>
    </row>
    <row r="200" spans="1:6" hidden="1" x14ac:dyDescent="0.25">
      <c r="A200" s="651" t="s">
        <v>547</v>
      </c>
      <c r="B200" s="665" t="s">
        <v>1284</v>
      </c>
      <c r="C200" s="652" t="s">
        <v>1285</v>
      </c>
      <c r="D200" s="655">
        <v>254</v>
      </c>
      <c r="E200" s="646">
        <v>301</v>
      </c>
      <c r="F200" s="636">
        <f t="shared" si="3"/>
        <v>0.18503937007874016</v>
      </c>
    </row>
    <row r="201" spans="1:6" x14ac:dyDescent="0.25">
      <c r="A201" s="651" t="s">
        <v>548</v>
      </c>
      <c r="B201" s="665">
        <v>50750</v>
      </c>
      <c r="C201" s="652">
        <v>20384</v>
      </c>
      <c r="D201" s="655">
        <v>904</v>
      </c>
      <c r="E201" s="646">
        <v>829</v>
      </c>
      <c r="F201" s="636">
        <f t="shared" si="3"/>
        <v>-8.2964601769911508E-2</v>
      </c>
    </row>
    <row r="202" spans="1:6" x14ac:dyDescent="0.25">
      <c r="A202" s="651" t="s">
        <v>549</v>
      </c>
      <c r="B202" s="665">
        <v>90585</v>
      </c>
      <c r="C202" s="652">
        <v>12498</v>
      </c>
      <c r="D202" s="655">
        <v>4833</v>
      </c>
      <c r="E202" s="646">
        <v>5034</v>
      </c>
      <c r="F202" s="636">
        <f t="shared" si="3"/>
        <v>4.1589075108628179E-2</v>
      </c>
    </row>
    <row r="203" spans="1:6" x14ac:dyDescent="0.25">
      <c r="A203" s="651" t="s">
        <v>550</v>
      </c>
      <c r="B203" s="665">
        <v>62344</v>
      </c>
      <c r="C203" s="652">
        <v>18676</v>
      </c>
      <c r="D203" s="655">
        <v>983</v>
      </c>
      <c r="E203" s="646">
        <v>981</v>
      </c>
      <c r="F203" s="636">
        <f t="shared" si="3"/>
        <v>-2.0345879959308239E-3</v>
      </c>
    </row>
    <row r="204" spans="1:6" x14ac:dyDescent="0.25">
      <c r="A204" s="651" t="s">
        <v>551</v>
      </c>
      <c r="B204" s="665">
        <v>58006</v>
      </c>
      <c r="C204" s="652">
        <v>9021</v>
      </c>
      <c r="D204" s="655">
        <v>2657</v>
      </c>
      <c r="E204" s="646">
        <v>2541</v>
      </c>
      <c r="F204" s="636">
        <f t="shared" si="3"/>
        <v>-4.3658261196838542E-2</v>
      </c>
    </row>
    <row r="205" spans="1:6" x14ac:dyDescent="0.25">
      <c r="A205" s="651" t="s">
        <v>552</v>
      </c>
      <c r="B205" s="665">
        <v>70417</v>
      </c>
      <c r="C205" s="652">
        <v>23260</v>
      </c>
      <c r="D205" s="655">
        <v>1180</v>
      </c>
      <c r="E205" s="646">
        <v>1254</v>
      </c>
      <c r="F205" s="636">
        <f t="shared" si="3"/>
        <v>6.2711864406779658E-2</v>
      </c>
    </row>
    <row r="206" spans="1:6" x14ac:dyDescent="0.25">
      <c r="A206" s="651" t="s">
        <v>855</v>
      </c>
      <c r="B206" s="665">
        <v>46638</v>
      </c>
      <c r="C206" s="652">
        <v>20069</v>
      </c>
      <c r="D206" s="655">
        <v>1756</v>
      </c>
      <c r="E206" s="646">
        <v>1877</v>
      </c>
      <c r="F206" s="636">
        <f t="shared" si="3"/>
        <v>6.8906605922551253E-2</v>
      </c>
    </row>
    <row r="207" spans="1:6" x14ac:dyDescent="0.25">
      <c r="A207" s="651" t="s">
        <v>553</v>
      </c>
      <c r="B207" s="665">
        <v>46607</v>
      </c>
      <c r="C207" s="652">
        <v>29586</v>
      </c>
      <c r="D207" s="655">
        <v>113</v>
      </c>
      <c r="E207" s="646">
        <v>103</v>
      </c>
      <c r="F207" s="636">
        <f t="shared" si="3"/>
        <v>-8.8495575221238937E-2</v>
      </c>
    </row>
    <row r="208" spans="1:6" x14ac:dyDescent="0.25">
      <c r="A208" s="651" t="s">
        <v>554</v>
      </c>
      <c r="B208" s="665">
        <v>88011</v>
      </c>
      <c r="C208" s="652">
        <v>14210</v>
      </c>
      <c r="D208" s="655">
        <v>1320</v>
      </c>
      <c r="E208" s="646">
        <v>1271</v>
      </c>
      <c r="F208" s="636">
        <f t="shared" si="3"/>
        <v>-3.7121212121212124E-2</v>
      </c>
    </row>
    <row r="209" spans="1:6" x14ac:dyDescent="0.25">
      <c r="A209" s="651" t="s">
        <v>555</v>
      </c>
      <c r="B209" s="665">
        <v>94225</v>
      </c>
      <c r="C209" s="652">
        <v>9164</v>
      </c>
      <c r="D209" s="655">
        <v>5788</v>
      </c>
      <c r="E209" s="646">
        <v>6826</v>
      </c>
      <c r="F209" s="636">
        <f t="shared" si="3"/>
        <v>0.1793365583966828</v>
      </c>
    </row>
    <row r="210" spans="1:6" hidden="1" x14ac:dyDescent="0.25">
      <c r="A210" s="660" t="s">
        <v>556</v>
      </c>
      <c r="B210" s="665" t="s">
        <v>1284</v>
      </c>
      <c r="C210" s="652" t="s">
        <v>1285</v>
      </c>
      <c r="D210" s="655">
        <v>79</v>
      </c>
      <c r="E210" s="646">
        <v>78</v>
      </c>
      <c r="F210" s="636">
        <f t="shared" si="3"/>
        <v>-1.2658227848101266E-2</v>
      </c>
    </row>
    <row r="211" spans="1:6" hidden="1" x14ac:dyDescent="0.25">
      <c r="A211" s="659" t="s">
        <v>1289</v>
      </c>
      <c r="B211" s="665" t="s">
        <v>1284</v>
      </c>
      <c r="C211" s="652" t="s">
        <v>1285</v>
      </c>
      <c r="D211" s="655">
        <v>1</v>
      </c>
      <c r="E211" s="646">
        <v>3</v>
      </c>
      <c r="F211" s="636">
        <f t="shared" si="3"/>
        <v>2</v>
      </c>
    </row>
    <row r="212" spans="1:6" x14ac:dyDescent="0.25">
      <c r="A212" s="651" t="s">
        <v>557</v>
      </c>
      <c r="B212" s="665">
        <v>42556</v>
      </c>
      <c r="C212" s="652">
        <v>34874</v>
      </c>
      <c r="D212" s="655">
        <v>67</v>
      </c>
      <c r="E212" s="646">
        <v>53</v>
      </c>
      <c r="F212" s="636">
        <f t="shared" si="3"/>
        <v>-0.20895522388059701</v>
      </c>
    </row>
    <row r="213" spans="1:6" x14ac:dyDescent="0.25">
      <c r="A213" s="651" t="s">
        <v>558</v>
      </c>
      <c r="B213" s="665">
        <v>62500</v>
      </c>
      <c r="C213" s="652">
        <v>6656</v>
      </c>
      <c r="D213" s="655">
        <v>1606</v>
      </c>
      <c r="E213" s="646">
        <v>1690</v>
      </c>
      <c r="F213" s="636">
        <f t="shared" si="3"/>
        <v>5.2303860523038606E-2</v>
      </c>
    </row>
    <row r="214" spans="1:6" x14ac:dyDescent="0.25">
      <c r="A214" s="651" t="s">
        <v>559</v>
      </c>
      <c r="B214" s="665">
        <v>51974</v>
      </c>
      <c r="C214" s="652">
        <v>14996</v>
      </c>
      <c r="D214" s="655">
        <v>1302</v>
      </c>
      <c r="E214" s="646">
        <v>1310</v>
      </c>
      <c r="F214" s="636">
        <f t="shared" si="3"/>
        <v>6.1443932411674347E-3</v>
      </c>
    </row>
    <row r="215" spans="1:6" x14ac:dyDescent="0.25">
      <c r="A215" s="651" t="s">
        <v>560</v>
      </c>
      <c r="B215" s="665">
        <v>92109</v>
      </c>
      <c r="C215" s="652">
        <v>20568</v>
      </c>
      <c r="D215" s="655">
        <v>3141</v>
      </c>
      <c r="E215" s="646">
        <v>3399</v>
      </c>
      <c r="F215" s="636">
        <f t="shared" si="3"/>
        <v>8.2139446036294167E-2</v>
      </c>
    </row>
    <row r="216" spans="1:6" x14ac:dyDescent="0.25">
      <c r="A216" s="651" t="s">
        <v>561</v>
      </c>
      <c r="B216" s="665">
        <v>81250</v>
      </c>
      <c r="C216" s="652">
        <v>22729</v>
      </c>
      <c r="D216" s="655">
        <v>4341</v>
      </c>
      <c r="E216" s="646">
        <v>4929</v>
      </c>
      <c r="F216" s="636">
        <f t="shared" si="3"/>
        <v>0.1354526606772633</v>
      </c>
    </row>
    <row r="217" spans="1:6" x14ac:dyDescent="0.25">
      <c r="A217" s="651" t="s">
        <v>562</v>
      </c>
      <c r="B217" s="665">
        <v>83462</v>
      </c>
      <c r="C217" s="652">
        <v>2349</v>
      </c>
      <c r="D217" s="655">
        <v>1653</v>
      </c>
      <c r="E217" s="646">
        <v>1732</v>
      </c>
      <c r="F217" s="636">
        <f t="shared" si="3"/>
        <v>4.7791893526920752E-2</v>
      </c>
    </row>
    <row r="218" spans="1:6" x14ac:dyDescent="0.25">
      <c r="A218" s="651" t="s">
        <v>563</v>
      </c>
      <c r="B218" s="665">
        <v>53616</v>
      </c>
      <c r="C218" s="652">
        <v>19607</v>
      </c>
      <c r="D218" s="655">
        <v>6101</v>
      </c>
      <c r="E218" s="646">
        <v>6072</v>
      </c>
      <c r="F218" s="636">
        <f t="shared" si="3"/>
        <v>-4.7533191280118015E-3</v>
      </c>
    </row>
    <row r="219" spans="1:6" x14ac:dyDescent="0.25">
      <c r="A219" s="651" t="s">
        <v>856</v>
      </c>
      <c r="B219" s="665">
        <v>46917</v>
      </c>
      <c r="C219" s="652">
        <v>11741</v>
      </c>
      <c r="D219" s="655">
        <v>1194</v>
      </c>
      <c r="E219" s="646">
        <v>1159</v>
      </c>
      <c r="F219" s="636">
        <f t="shared" si="3"/>
        <v>-2.9313232830820771E-2</v>
      </c>
    </row>
    <row r="220" spans="1:6" x14ac:dyDescent="0.25">
      <c r="A220" s="651" t="s">
        <v>564</v>
      </c>
      <c r="B220" s="665">
        <v>65882</v>
      </c>
      <c r="C220" s="652">
        <v>14029</v>
      </c>
      <c r="D220" s="655">
        <v>1495</v>
      </c>
      <c r="E220" s="646">
        <v>1438</v>
      </c>
      <c r="F220" s="636">
        <f t="shared" si="3"/>
        <v>-3.8127090301003343E-2</v>
      </c>
    </row>
    <row r="221" spans="1:6" x14ac:dyDescent="0.25">
      <c r="A221" s="651" t="s">
        <v>565</v>
      </c>
      <c r="B221" s="665">
        <v>59474</v>
      </c>
      <c r="C221" s="652">
        <v>19498</v>
      </c>
      <c r="D221" s="655">
        <v>880</v>
      </c>
      <c r="E221" s="646">
        <v>801</v>
      </c>
      <c r="F221" s="636">
        <f t="shared" si="3"/>
        <v>-8.9772727272727268E-2</v>
      </c>
    </row>
    <row r="222" spans="1:6" x14ac:dyDescent="0.25">
      <c r="A222" s="651" t="s">
        <v>857</v>
      </c>
      <c r="B222" s="665">
        <v>59318</v>
      </c>
      <c r="C222" s="652">
        <v>6599</v>
      </c>
      <c r="D222" s="655">
        <v>816</v>
      </c>
      <c r="E222" s="646">
        <v>761</v>
      </c>
      <c r="F222" s="636">
        <f t="shared" si="3"/>
        <v>-6.7401960784313722E-2</v>
      </c>
    </row>
    <row r="223" spans="1:6" hidden="1" x14ac:dyDescent="0.25">
      <c r="A223" s="659" t="s">
        <v>1290</v>
      </c>
      <c r="B223" s="665" t="s">
        <v>1284</v>
      </c>
      <c r="C223" s="652" t="s">
        <v>1285</v>
      </c>
      <c r="D223" s="655">
        <v>73</v>
      </c>
      <c r="E223" s="646">
        <v>88</v>
      </c>
      <c r="F223" s="636">
        <f t="shared" si="3"/>
        <v>0.20547945205479451</v>
      </c>
    </row>
    <row r="224" spans="1:6" x14ac:dyDescent="0.25">
      <c r="A224" s="651" t="s">
        <v>566</v>
      </c>
      <c r="B224" s="665">
        <v>75625</v>
      </c>
      <c r="C224" s="652">
        <v>36017</v>
      </c>
      <c r="D224" s="655">
        <v>574</v>
      </c>
      <c r="E224" s="646">
        <v>592</v>
      </c>
      <c r="F224" s="636">
        <f t="shared" si="3"/>
        <v>3.1358885017421602E-2</v>
      </c>
    </row>
    <row r="225" spans="1:6" x14ac:dyDescent="0.25">
      <c r="A225" s="651" t="s">
        <v>567</v>
      </c>
      <c r="B225" s="665">
        <v>55526</v>
      </c>
      <c r="C225" s="652">
        <v>20586</v>
      </c>
      <c r="D225" s="655">
        <v>840</v>
      </c>
      <c r="E225" s="646">
        <v>784</v>
      </c>
      <c r="F225" s="636">
        <f t="shared" si="3"/>
        <v>-6.6666666666666666E-2</v>
      </c>
    </row>
    <row r="226" spans="1:6" x14ac:dyDescent="0.25">
      <c r="A226" s="651" t="s">
        <v>568</v>
      </c>
      <c r="B226" s="665">
        <v>73580</v>
      </c>
      <c r="C226" s="652">
        <v>11397</v>
      </c>
      <c r="D226" s="655">
        <v>566</v>
      </c>
      <c r="E226" s="646">
        <v>620</v>
      </c>
      <c r="F226" s="636">
        <f t="shared" si="3"/>
        <v>9.5406360424028266E-2</v>
      </c>
    </row>
    <row r="227" spans="1:6" x14ac:dyDescent="0.25">
      <c r="A227" s="651" t="s">
        <v>569</v>
      </c>
      <c r="B227" s="665">
        <v>77575</v>
      </c>
      <c r="C227" s="652">
        <v>11147</v>
      </c>
      <c r="D227" s="655">
        <v>4776</v>
      </c>
      <c r="E227" s="646">
        <v>4654</v>
      </c>
      <c r="F227" s="636">
        <f t="shared" si="3"/>
        <v>-2.5544388609715241E-2</v>
      </c>
    </row>
    <row r="228" spans="1:6" x14ac:dyDescent="0.25">
      <c r="A228" s="651" t="s">
        <v>570</v>
      </c>
      <c r="B228" s="665">
        <v>74805</v>
      </c>
      <c r="C228" s="652">
        <v>12022</v>
      </c>
      <c r="D228" s="655">
        <v>2421</v>
      </c>
      <c r="E228" s="646">
        <v>2704</v>
      </c>
      <c r="F228" s="636">
        <f t="shared" si="3"/>
        <v>0.11689384551838083</v>
      </c>
    </row>
    <row r="229" spans="1:6" x14ac:dyDescent="0.25">
      <c r="A229" s="651" t="s">
        <v>571</v>
      </c>
      <c r="B229" s="665">
        <v>54375</v>
      </c>
      <c r="C229" s="652">
        <v>12630</v>
      </c>
      <c r="D229" s="655">
        <v>583</v>
      </c>
      <c r="E229" s="646">
        <v>614</v>
      </c>
      <c r="F229" s="636">
        <f t="shared" si="3"/>
        <v>5.3173241852487133E-2</v>
      </c>
    </row>
    <row r="230" spans="1:6" x14ac:dyDescent="0.25">
      <c r="A230" s="651" t="s">
        <v>858</v>
      </c>
      <c r="B230" s="665">
        <v>61667</v>
      </c>
      <c r="C230" s="652">
        <v>13972</v>
      </c>
      <c r="D230" s="655">
        <v>1321</v>
      </c>
      <c r="E230" s="646">
        <v>1264</v>
      </c>
      <c r="F230" s="636">
        <f t="shared" si="3"/>
        <v>-4.3149129447388343E-2</v>
      </c>
    </row>
    <row r="231" spans="1:6" x14ac:dyDescent="0.25">
      <c r="A231" s="651" t="s">
        <v>572</v>
      </c>
      <c r="B231" s="665">
        <v>77917</v>
      </c>
      <c r="C231" s="652">
        <v>10916</v>
      </c>
      <c r="D231" s="655">
        <v>1338</v>
      </c>
      <c r="E231" s="646">
        <v>1405</v>
      </c>
      <c r="F231" s="636">
        <f t="shared" si="3"/>
        <v>5.0074738415545592E-2</v>
      </c>
    </row>
    <row r="232" spans="1:6" x14ac:dyDescent="0.25">
      <c r="A232" s="651" t="s">
        <v>859</v>
      </c>
      <c r="B232" s="665">
        <v>101204</v>
      </c>
      <c r="C232" s="652">
        <v>10221</v>
      </c>
      <c r="D232" s="655">
        <v>11001</v>
      </c>
      <c r="E232" s="646">
        <v>11915</v>
      </c>
      <c r="F232" s="636">
        <f t="shared" si="3"/>
        <v>8.3083356058540128E-2</v>
      </c>
    </row>
    <row r="233" spans="1:6" x14ac:dyDescent="0.25">
      <c r="A233" s="651" t="s">
        <v>860</v>
      </c>
      <c r="B233" s="665">
        <v>101494</v>
      </c>
      <c r="C233" s="652">
        <v>17162</v>
      </c>
      <c r="D233" s="655">
        <v>3512</v>
      </c>
      <c r="E233" s="646">
        <v>3696</v>
      </c>
      <c r="F233" s="636">
        <f t="shared" si="3"/>
        <v>5.2391799544419138E-2</v>
      </c>
    </row>
    <row r="234" spans="1:6" x14ac:dyDescent="0.25">
      <c r="A234" s="651" t="s">
        <v>861</v>
      </c>
      <c r="B234" s="665">
        <v>55417</v>
      </c>
      <c r="C234" s="652">
        <v>27655</v>
      </c>
      <c r="D234" s="655">
        <v>984</v>
      </c>
      <c r="E234" s="646">
        <v>1001</v>
      </c>
      <c r="F234" s="636">
        <f t="shared" si="3"/>
        <v>1.7276422764227643E-2</v>
      </c>
    </row>
    <row r="235" spans="1:6" x14ac:dyDescent="0.25">
      <c r="A235" s="651" t="s">
        <v>573</v>
      </c>
      <c r="B235" s="665">
        <v>38162</v>
      </c>
      <c r="C235" s="652">
        <v>12050</v>
      </c>
      <c r="D235" s="655">
        <v>167</v>
      </c>
      <c r="E235" s="646">
        <v>138</v>
      </c>
      <c r="F235" s="636">
        <f t="shared" si="3"/>
        <v>-0.17365269461077845</v>
      </c>
    </row>
    <row r="236" spans="1:6" hidden="1" x14ac:dyDescent="0.25">
      <c r="A236" s="659" t="s">
        <v>1291</v>
      </c>
      <c r="B236" s="665" t="s">
        <v>1284</v>
      </c>
      <c r="C236" s="652" t="s">
        <v>1285</v>
      </c>
      <c r="D236" s="655">
        <v>28</v>
      </c>
      <c r="E236" s="646">
        <v>32</v>
      </c>
      <c r="F236" s="636">
        <f t="shared" si="3"/>
        <v>0.14285714285714285</v>
      </c>
    </row>
    <row r="237" spans="1:6" x14ac:dyDescent="0.25">
      <c r="A237" s="651" t="s">
        <v>862</v>
      </c>
      <c r="B237" s="665">
        <v>85457</v>
      </c>
      <c r="C237" s="652">
        <v>11795</v>
      </c>
      <c r="D237" s="655">
        <v>9672</v>
      </c>
      <c r="E237" s="646">
        <v>10784</v>
      </c>
      <c r="F237" s="636">
        <f t="shared" si="3"/>
        <v>0.11497105045492143</v>
      </c>
    </row>
    <row r="238" spans="1:6" x14ac:dyDescent="0.25">
      <c r="A238" s="651" t="s">
        <v>574</v>
      </c>
      <c r="B238" s="665">
        <v>66250</v>
      </c>
      <c r="C238" s="652">
        <v>11131</v>
      </c>
      <c r="D238" s="655">
        <v>804</v>
      </c>
      <c r="E238" s="646">
        <v>816</v>
      </c>
      <c r="F238" s="636">
        <f t="shared" si="3"/>
        <v>1.4925373134328358E-2</v>
      </c>
    </row>
    <row r="239" spans="1:6" x14ac:dyDescent="0.25">
      <c r="A239" s="651" t="s">
        <v>575</v>
      </c>
      <c r="B239" s="665">
        <v>42875</v>
      </c>
      <c r="C239" s="652">
        <v>17098</v>
      </c>
      <c r="D239" s="655">
        <v>681</v>
      </c>
      <c r="E239" s="646">
        <v>643</v>
      </c>
      <c r="F239" s="636">
        <f t="shared" si="3"/>
        <v>-5.5800293685756244E-2</v>
      </c>
    </row>
    <row r="240" spans="1:6" hidden="1" x14ac:dyDescent="0.25">
      <c r="A240" s="659" t="s">
        <v>1292</v>
      </c>
      <c r="B240" s="665" t="s">
        <v>1284</v>
      </c>
      <c r="C240" s="652" t="s">
        <v>1285</v>
      </c>
      <c r="D240" s="655">
        <v>108</v>
      </c>
      <c r="E240" s="646">
        <v>156</v>
      </c>
      <c r="F240" s="636">
        <f t="shared" si="3"/>
        <v>0.44444444444444442</v>
      </c>
    </row>
    <row r="241" spans="1:6" x14ac:dyDescent="0.25">
      <c r="A241" s="651" t="s">
        <v>576</v>
      </c>
      <c r="B241" s="665">
        <v>53333</v>
      </c>
      <c r="C241" s="652">
        <v>20290</v>
      </c>
      <c r="D241" s="655">
        <v>104</v>
      </c>
      <c r="E241" s="646">
        <v>104</v>
      </c>
      <c r="F241" s="636">
        <f t="shared" si="3"/>
        <v>0</v>
      </c>
    </row>
    <row r="242" spans="1:6" x14ac:dyDescent="0.25">
      <c r="A242" s="651" t="s">
        <v>577</v>
      </c>
      <c r="B242" s="665">
        <v>84355</v>
      </c>
      <c r="C242" s="652">
        <v>10581</v>
      </c>
      <c r="D242" s="655">
        <v>1637</v>
      </c>
      <c r="E242" s="646">
        <v>1776</v>
      </c>
      <c r="F242" s="636">
        <f t="shared" si="3"/>
        <v>8.4911423335369579E-2</v>
      </c>
    </row>
    <row r="243" spans="1:6" x14ac:dyDescent="0.25">
      <c r="A243" s="651" t="s">
        <v>578</v>
      </c>
      <c r="B243" s="665">
        <v>97257</v>
      </c>
      <c r="C243" s="652">
        <v>13367</v>
      </c>
      <c r="D243" s="655">
        <v>6110</v>
      </c>
      <c r="E243" s="646">
        <v>6698</v>
      </c>
      <c r="F243" s="636">
        <f t="shared" si="3"/>
        <v>9.6235679214402625E-2</v>
      </c>
    </row>
    <row r="244" spans="1:6" x14ac:dyDescent="0.25">
      <c r="A244" s="651" t="s">
        <v>579</v>
      </c>
      <c r="B244" s="665">
        <v>49219</v>
      </c>
      <c r="C244" s="652">
        <v>9719</v>
      </c>
      <c r="D244" s="655">
        <v>922</v>
      </c>
      <c r="E244" s="646">
        <v>915</v>
      </c>
      <c r="F244" s="636">
        <f t="shared" si="3"/>
        <v>-7.5921908893709323E-3</v>
      </c>
    </row>
    <row r="245" spans="1:6" x14ac:dyDescent="0.25">
      <c r="A245" s="651" t="s">
        <v>580</v>
      </c>
      <c r="B245" s="665">
        <v>86339</v>
      </c>
      <c r="C245" s="656">
        <v>13738</v>
      </c>
      <c r="D245" s="655">
        <v>2296</v>
      </c>
      <c r="E245" s="646">
        <v>2306</v>
      </c>
      <c r="F245" s="636">
        <f t="shared" si="3"/>
        <v>4.3554006968641113E-3</v>
      </c>
    </row>
    <row r="246" spans="1:6" x14ac:dyDescent="0.25">
      <c r="A246" s="651" t="s">
        <v>581</v>
      </c>
      <c r="B246" s="665">
        <v>75917</v>
      </c>
      <c r="C246" s="652">
        <v>15490</v>
      </c>
      <c r="D246" s="655">
        <v>2910</v>
      </c>
      <c r="E246" s="646">
        <v>3177</v>
      </c>
      <c r="F246" s="636">
        <f t="shared" si="3"/>
        <v>9.1752577319587622E-2</v>
      </c>
    </row>
    <row r="247" spans="1:6" x14ac:dyDescent="0.25">
      <c r="A247" s="651" t="s">
        <v>582</v>
      </c>
      <c r="B247" s="665">
        <v>56558</v>
      </c>
      <c r="C247" s="656">
        <v>3779</v>
      </c>
      <c r="D247" s="655">
        <v>36526</v>
      </c>
      <c r="E247" s="646">
        <v>38404</v>
      </c>
      <c r="F247" s="636">
        <f t="shared" si="3"/>
        <v>5.1415430104583035E-2</v>
      </c>
    </row>
    <row r="248" spans="1:6" x14ac:dyDescent="0.25">
      <c r="A248" s="651" t="s">
        <v>583</v>
      </c>
      <c r="B248" s="665">
        <v>59464</v>
      </c>
      <c r="C248" s="652">
        <v>19737</v>
      </c>
      <c r="D248" s="655">
        <v>914</v>
      </c>
      <c r="E248" s="646">
        <v>952</v>
      </c>
      <c r="F248" s="636">
        <f t="shared" si="3"/>
        <v>4.1575492341356671E-2</v>
      </c>
    </row>
    <row r="249" spans="1:6" x14ac:dyDescent="0.25">
      <c r="A249" s="651" t="s">
        <v>584</v>
      </c>
      <c r="B249" s="665">
        <v>90125</v>
      </c>
      <c r="C249" s="652">
        <v>8914</v>
      </c>
      <c r="D249" s="655">
        <v>2950</v>
      </c>
      <c r="E249" s="646">
        <v>3523</v>
      </c>
      <c r="F249" s="636">
        <f t="shared" si="3"/>
        <v>0.19423728813559321</v>
      </c>
    </row>
    <row r="250" spans="1:6" x14ac:dyDescent="0.25">
      <c r="A250" s="651" t="s">
        <v>863</v>
      </c>
      <c r="B250" s="665">
        <v>43958</v>
      </c>
      <c r="C250" s="652">
        <v>15185</v>
      </c>
      <c r="D250" s="655">
        <v>2025</v>
      </c>
      <c r="E250" s="646">
        <v>1517</v>
      </c>
      <c r="F250" s="636">
        <f t="shared" si="3"/>
        <v>-0.2508641975308642</v>
      </c>
    </row>
    <row r="251" spans="1:6" x14ac:dyDescent="0.25">
      <c r="A251" s="651" t="s">
        <v>585</v>
      </c>
      <c r="B251" s="665">
        <v>78558</v>
      </c>
      <c r="C251" s="652">
        <v>19473</v>
      </c>
      <c r="D251" s="655">
        <v>3734</v>
      </c>
      <c r="E251" s="646">
        <v>4081</v>
      </c>
      <c r="F251" s="636">
        <f t="shared" si="3"/>
        <v>9.2929833958221741E-2</v>
      </c>
    </row>
    <row r="252" spans="1:6" x14ac:dyDescent="0.25">
      <c r="A252" s="651" t="s">
        <v>586</v>
      </c>
      <c r="B252" s="665">
        <v>69375</v>
      </c>
      <c r="C252" s="652">
        <v>54565</v>
      </c>
      <c r="D252" s="655">
        <v>44</v>
      </c>
      <c r="E252" s="646">
        <v>43</v>
      </c>
      <c r="F252" s="636">
        <f t="shared" si="3"/>
        <v>-2.2727272727272728E-2</v>
      </c>
    </row>
    <row r="253" spans="1:6" x14ac:dyDescent="0.25">
      <c r="A253" s="651" t="s">
        <v>864</v>
      </c>
      <c r="B253" s="665">
        <v>50961</v>
      </c>
      <c r="C253" s="652">
        <v>8288</v>
      </c>
      <c r="D253" s="655">
        <v>5032</v>
      </c>
      <c r="E253" s="646">
        <v>4866</v>
      </c>
      <c r="F253" s="636">
        <f t="shared" si="3"/>
        <v>-3.2988871224165342E-2</v>
      </c>
    </row>
    <row r="254" spans="1:6" x14ac:dyDescent="0.25">
      <c r="A254" s="651" t="s">
        <v>587</v>
      </c>
      <c r="B254" s="665">
        <v>80000</v>
      </c>
      <c r="C254" s="652">
        <v>15929</v>
      </c>
      <c r="D254" s="655">
        <v>2206</v>
      </c>
      <c r="E254" s="646">
        <v>2395</v>
      </c>
      <c r="F254" s="636">
        <f t="shared" si="3"/>
        <v>8.5675430643699008E-2</v>
      </c>
    </row>
    <row r="255" spans="1:6" x14ac:dyDescent="0.25">
      <c r="A255" s="651" t="s">
        <v>588</v>
      </c>
      <c r="B255" s="665">
        <v>54583</v>
      </c>
      <c r="C255" s="652">
        <v>10843</v>
      </c>
      <c r="D255" s="655">
        <v>966</v>
      </c>
      <c r="E255" s="646">
        <v>958</v>
      </c>
      <c r="F255" s="636">
        <f t="shared" si="3"/>
        <v>-8.2815734989648039E-3</v>
      </c>
    </row>
    <row r="256" spans="1:6" x14ac:dyDescent="0.25">
      <c r="A256" s="651" t="s">
        <v>865</v>
      </c>
      <c r="B256" s="665">
        <v>72144</v>
      </c>
      <c r="C256" s="656">
        <v>8373</v>
      </c>
      <c r="D256" s="655">
        <v>9127</v>
      </c>
      <c r="E256" s="646">
        <v>9729</v>
      </c>
      <c r="F256" s="636">
        <f t="shared" si="3"/>
        <v>6.5958146159745809E-2</v>
      </c>
    </row>
    <row r="257" spans="1:6" x14ac:dyDescent="0.25">
      <c r="A257" s="651" t="s">
        <v>589</v>
      </c>
      <c r="B257" s="665">
        <v>75329</v>
      </c>
      <c r="C257" s="652">
        <v>13368</v>
      </c>
      <c r="D257" s="655">
        <v>3568</v>
      </c>
      <c r="E257" s="646">
        <v>3715</v>
      </c>
      <c r="F257" s="636">
        <f t="shared" si="3"/>
        <v>4.1199551569506727E-2</v>
      </c>
    </row>
    <row r="258" spans="1:6" x14ac:dyDescent="0.25">
      <c r="A258" s="651" t="s">
        <v>590</v>
      </c>
      <c r="B258" s="665">
        <v>63214</v>
      </c>
      <c r="C258" s="652">
        <v>29102</v>
      </c>
      <c r="D258" s="655">
        <v>1042</v>
      </c>
      <c r="E258" s="646">
        <v>1014</v>
      </c>
      <c r="F258" s="636">
        <f t="shared" si="3"/>
        <v>-2.6871401151631478E-2</v>
      </c>
    </row>
    <row r="259" spans="1:6" x14ac:dyDescent="0.25">
      <c r="A259" s="651" t="s">
        <v>591</v>
      </c>
      <c r="B259" s="665">
        <v>44535</v>
      </c>
      <c r="C259" s="656">
        <v>11436</v>
      </c>
      <c r="D259" s="655">
        <v>3119</v>
      </c>
      <c r="E259" s="646">
        <v>3107</v>
      </c>
      <c r="F259" s="636">
        <f t="shared" si="3"/>
        <v>-3.8473869830073742E-3</v>
      </c>
    </row>
    <row r="260" spans="1:6" x14ac:dyDescent="0.25">
      <c r="A260" s="651" t="s">
        <v>592</v>
      </c>
      <c r="B260" s="665">
        <v>71691</v>
      </c>
      <c r="C260" s="656">
        <v>14731</v>
      </c>
      <c r="D260" s="655">
        <v>2084</v>
      </c>
      <c r="E260" s="646">
        <v>2163</v>
      </c>
      <c r="F260" s="636">
        <f t="shared" si="3"/>
        <v>3.7907869481765832E-2</v>
      </c>
    </row>
    <row r="261" spans="1:6" x14ac:dyDescent="0.25">
      <c r="A261" s="651" t="s">
        <v>593</v>
      </c>
      <c r="B261" s="665">
        <v>80625</v>
      </c>
      <c r="C261" s="652">
        <v>33280</v>
      </c>
      <c r="D261" s="655">
        <v>235</v>
      </c>
      <c r="E261" s="646">
        <v>231</v>
      </c>
      <c r="F261" s="636">
        <f t="shared" ref="F261:F323" si="4">(E261-D261)/D261</f>
        <v>-1.7021276595744681E-2</v>
      </c>
    </row>
    <row r="262" spans="1:6" hidden="1" x14ac:dyDescent="0.25">
      <c r="A262" s="659" t="s">
        <v>1293</v>
      </c>
      <c r="B262" s="665" t="s">
        <v>1284</v>
      </c>
      <c r="C262" s="652" t="s">
        <v>1285</v>
      </c>
      <c r="D262" s="655">
        <v>1</v>
      </c>
      <c r="E262" s="646">
        <v>2</v>
      </c>
      <c r="F262" s="636">
        <f t="shared" si="4"/>
        <v>1</v>
      </c>
    </row>
    <row r="263" spans="1:6" x14ac:dyDescent="0.25">
      <c r="A263" s="651" t="s">
        <v>594</v>
      </c>
      <c r="B263" s="665">
        <v>72308</v>
      </c>
      <c r="C263" s="652">
        <v>23799</v>
      </c>
      <c r="D263" s="655">
        <v>1119</v>
      </c>
      <c r="E263" s="646">
        <v>1159</v>
      </c>
      <c r="F263" s="636">
        <f t="shared" si="4"/>
        <v>3.5746201966041107E-2</v>
      </c>
    </row>
    <row r="264" spans="1:6" x14ac:dyDescent="0.25">
      <c r="A264" s="651" t="s">
        <v>595</v>
      </c>
      <c r="B264" s="665">
        <v>39950</v>
      </c>
      <c r="C264" s="652">
        <v>7250</v>
      </c>
      <c r="D264" s="655">
        <v>363</v>
      </c>
      <c r="E264" s="646">
        <v>382</v>
      </c>
      <c r="F264" s="636">
        <f t="shared" si="4"/>
        <v>5.2341597796143252E-2</v>
      </c>
    </row>
    <row r="265" spans="1:6" x14ac:dyDescent="0.25">
      <c r="A265" s="651" t="s">
        <v>866</v>
      </c>
      <c r="B265" s="665">
        <v>55500</v>
      </c>
      <c r="C265" s="652">
        <v>17232</v>
      </c>
      <c r="D265" s="655">
        <v>1300</v>
      </c>
      <c r="E265" s="646">
        <v>1245</v>
      </c>
      <c r="F265" s="636">
        <f t="shared" si="4"/>
        <v>-4.230769230769231E-2</v>
      </c>
    </row>
    <row r="266" spans="1:6" x14ac:dyDescent="0.25">
      <c r="A266" s="651" t="s">
        <v>596</v>
      </c>
      <c r="B266" s="665">
        <v>62500</v>
      </c>
      <c r="C266" s="652">
        <v>14077</v>
      </c>
      <c r="D266" s="655">
        <v>414</v>
      </c>
      <c r="E266" s="646">
        <v>449</v>
      </c>
      <c r="F266" s="636">
        <f t="shared" si="4"/>
        <v>8.4541062801932368E-2</v>
      </c>
    </row>
    <row r="267" spans="1:6" x14ac:dyDescent="0.25">
      <c r="A267" s="651" t="s">
        <v>597</v>
      </c>
      <c r="B267" s="665">
        <v>80365</v>
      </c>
      <c r="C267" s="652">
        <v>16074</v>
      </c>
      <c r="D267" s="655">
        <v>4366</v>
      </c>
      <c r="E267" s="646">
        <v>4632</v>
      </c>
      <c r="F267" s="636">
        <f t="shared" si="4"/>
        <v>6.0925332111772791E-2</v>
      </c>
    </row>
    <row r="268" spans="1:6" x14ac:dyDescent="0.25">
      <c r="A268" s="651" t="s">
        <v>867</v>
      </c>
      <c r="B268" s="665">
        <v>38409</v>
      </c>
      <c r="C268" s="652">
        <v>16625</v>
      </c>
      <c r="D268" s="655">
        <v>2193</v>
      </c>
      <c r="E268" s="646">
        <v>2076</v>
      </c>
      <c r="F268" s="636">
        <f t="shared" si="4"/>
        <v>-5.33515731874145E-2</v>
      </c>
    </row>
    <row r="269" spans="1:6" x14ac:dyDescent="0.25">
      <c r="A269" s="651" t="s">
        <v>598</v>
      </c>
      <c r="B269" s="665">
        <v>52188</v>
      </c>
      <c r="C269" s="652">
        <v>11197</v>
      </c>
      <c r="D269" s="655">
        <v>1106</v>
      </c>
      <c r="E269" s="646">
        <v>1008</v>
      </c>
      <c r="F269" s="636">
        <f t="shared" si="4"/>
        <v>-8.8607594936708861E-2</v>
      </c>
    </row>
    <row r="270" spans="1:6" x14ac:dyDescent="0.25">
      <c r="A270" s="651" t="s">
        <v>599</v>
      </c>
      <c r="B270" s="665">
        <v>28696</v>
      </c>
      <c r="C270" s="652">
        <v>986</v>
      </c>
      <c r="D270" s="655">
        <v>75</v>
      </c>
      <c r="E270" s="646">
        <v>63</v>
      </c>
      <c r="F270" s="636">
        <f t="shared" si="4"/>
        <v>-0.16</v>
      </c>
    </row>
    <row r="271" spans="1:6" x14ac:dyDescent="0.25">
      <c r="A271" s="651" t="s">
        <v>600</v>
      </c>
      <c r="B271" s="665">
        <v>43385</v>
      </c>
      <c r="C271" s="652">
        <v>12902</v>
      </c>
      <c r="D271" s="655">
        <v>3981</v>
      </c>
      <c r="E271" s="646">
        <v>3863</v>
      </c>
      <c r="F271" s="636">
        <f t="shared" si="4"/>
        <v>-2.9640793770409443E-2</v>
      </c>
    </row>
    <row r="272" spans="1:6" x14ac:dyDescent="0.25">
      <c r="A272" s="651" t="s">
        <v>868</v>
      </c>
      <c r="B272" s="665">
        <v>48750</v>
      </c>
      <c r="C272" s="652">
        <v>18994</v>
      </c>
      <c r="D272" s="655">
        <v>4807</v>
      </c>
      <c r="E272" s="646">
        <v>4814</v>
      </c>
      <c r="F272" s="636">
        <f t="shared" si="4"/>
        <v>1.4562096941959641E-3</v>
      </c>
    </row>
    <row r="273" spans="1:6" x14ac:dyDescent="0.25">
      <c r="A273" s="651" t="s">
        <v>601</v>
      </c>
      <c r="B273" s="665">
        <v>89453</v>
      </c>
      <c r="C273" s="652">
        <v>14961</v>
      </c>
      <c r="D273" s="655">
        <v>2511</v>
      </c>
      <c r="E273" s="646">
        <v>2484</v>
      </c>
      <c r="F273" s="636">
        <f t="shared" si="4"/>
        <v>-1.0752688172043012E-2</v>
      </c>
    </row>
    <row r="274" spans="1:6" x14ac:dyDescent="0.25">
      <c r="A274" s="651" t="s">
        <v>869</v>
      </c>
      <c r="B274" s="665">
        <v>77917</v>
      </c>
      <c r="C274" s="652">
        <v>18022</v>
      </c>
      <c r="D274" s="655">
        <v>1924</v>
      </c>
      <c r="E274" s="646">
        <v>1911</v>
      </c>
      <c r="F274" s="636">
        <f t="shared" si="4"/>
        <v>-6.7567567567567571E-3</v>
      </c>
    </row>
    <row r="275" spans="1:6" x14ac:dyDescent="0.25">
      <c r="A275" s="651" t="s">
        <v>602</v>
      </c>
      <c r="B275" s="665">
        <v>61958</v>
      </c>
      <c r="C275" s="652">
        <v>2335</v>
      </c>
      <c r="D275" s="655">
        <v>499</v>
      </c>
      <c r="E275" s="646">
        <v>494</v>
      </c>
      <c r="F275" s="636">
        <f t="shared" si="4"/>
        <v>-1.002004008016032E-2</v>
      </c>
    </row>
    <row r="276" spans="1:6" x14ac:dyDescent="0.25">
      <c r="A276" s="651" t="s">
        <v>870</v>
      </c>
      <c r="B276" s="665">
        <v>63304</v>
      </c>
      <c r="C276" s="652">
        <v>9873</v>
      </c>
      <c r="D276" s="655">
        <v>1428</v>
      </c>
      <c r="E276" s="646">
        <v>1339</v>
      </c>
      <c r="F276" s="636">
        <f t="shared" si="4"/>
        <v>-6.2324929971988796E-2</v>
      </c>
    </row>
    <row r="277" spans="1:6" hidden="1" x14ac:dyDescent="0.25">
      <c r="A277" s="659" t="s">
        <v>1294</v>
      </c>
      <c r="B277" s="665" t="s">
        <v>1284</v>
      </c>
      <c r="C277" s="652" t="s">
        <v>1285</v>
      </c>
      <c r="D277" s="655">
        <v>0</v>
      </c>
      <c r="E277" s="646">
        <v>0</v>
      </c>
      <c r="F277" s="636" t="e">
        <f t="shared" si="4"/>
        <v>#DIV/0!</v>
      </c>
    </row>
    <row r="278" spans="1:6" x14ac:dyDescent="0.25">
      <c r="A278" s="651" t="s">
        <v>603</v>
      </c>
      <c r="B278" s="665">
        <v>60500</v>
      </c>
      <c r="C278" s="652">
        <v>6963</v>
      </c>
      <c r="D278" s="655">
        <v>526</v>
      </c>
      <c r="E278" s="646">
        <v>530</v>
      </c>
      <c r="F278" s="636">
        <f t="shared" si="4"/>
        <v>7.6045627376425855E-3</v>
      </c>
    </row>
    <row r="279" spans="1:6" x14ac:dyDescent="0.25">
      <c r="A279" s="651" t="s">
        <v>604</v>
      </c>
      <c r="B279" s="665">
        <v>65288</v>
      </c>
      <c r="C279" s="652">
        <v>20326</v>
      </c>
      <c r="D279" s="655">
        <v>235</v>
      </c>
      <c r="E279" s="646">
        <v>204</v>
      </c>
      <c r="F279" s="636">
        <f t="shared" si="4"/>
        <v>-0.13191489361702127</v>
      </c>
    </row>
    <row r="280" spans="1:6" x14ac:dyDescent="0.25">
      <c r="A280" s="651" t="s">
        <v>605</v>
      </c>
      <c r="B280" s="665">
        <v>47292</v>
      </c>
      <c r="C280" s="652">
        <v>39636</v>
      </c>
      <c r="D280" s="655">
        <v>66</v>
      </c>
      <c r="E280" s="646">
        <v>51</v>
      </c>
      <c r="F280" s="636">
        <f t="shared" si="4"/>
        <v>-0.22727272727272727</v>
      </c>
    </row>
    <row r="281" spans="1:6" x14ac:dyDescent="0.25">
      <c r="A281" s="651" t="s">
        <v>871</v>
      </c>
      <c r="B281" s="665">
        <v>40688</v>
      </c>
      <c r="C281" s="652">
        <v>7063</v>
      </c>
      <c r="D281" s="655">
        <v>651</v>
      </c>
      <c r="E281" s="646">
        <v>600</v>
      </c>
      <c r="F281" s="636">
        <f t="shared" si="4"/>
        <v>-7.8341013824884786E-2</v>
      </c>
    </row>
    <row r="282" spans="1:6" x14ac:dyDescent="0.25">
      <c r="A282" s="651" t="s">
        <v>606</v>
      </c>
      <c r="B282" s="665">
        <v>57500</v>
      </c>
      <c r="C282" s="652">
        <v>45411</v>
      </c>
      <c r="D282" s="655">
        <v>96</v>
      </c>
      <c r="E282" s="646">
        <v>81</v>
      </c>
      <c r="F282" s="636">
        <f t="shared" si="4"/>
        <v>-0.15625</v>
      </c>
    </row>
    <row r="283" spans="1:6" x14ac:dyDescent="0.25">
      <c r="A283" s="651" t="s">
        <v>872</v>
      </c>
      <c r="B283" s="665">
        <v>58958</v>
      </c>
      <c r="C283" s="656">
        <v>11509</v>
      </c>
      <c r="D283" s="655">
        <v>3043</v>
      </c>
      <c r="E283" s="646">
        <v>3134</v>
      </c>
      <c r="F283" s="636">
        <f t="shared" si="4"/>
        <v>2.9904699309891553E-2</v>
      </c>
    </row>
    <row r="284" spans="1:6" x14ac:dyDescent="0.25">
      <c r="A284" s="651" t="s">
        <v>607</v>
      </c>
      <c r="B284" s="665">
        <v>46750</v>
      </c>
      <c r="C284" s="652">
        <v>10711</v>
      </c>
      <c r="D284" s="655">
        <v>149</v>
      </c>
      <c r="E284" s="646">
        <v>137</v>
      </c>
      <c r="F284" s="636">
        <f t="shared" si="4"/>
        <v>-8.0536912751677847E-2</v>
      </c>
    </row>
    <row r="285" spans="1:6" x14ac:dyDescent="0.25">
      <c r="A285" s="651" t="s">
        <v>608</v>
      </c>
      <c r="B285" s="665">
        <v>63717</v>
      </c>
      <c r="C285" s="652">
        <v>4698</v>
      </c>
      <c r="D285" s="655">
        <v>243</v>
      </c>
      <c r="E285" s="646">
        <v>240</v>
      </c>
      <c r="F285" s="636">
        <f t="shared" si="4"/>
        <v>-1.2345679012345678E-2</v>
      </c>
    </row>
    <row r="286" spans="1:6" x14ac:dyDescent="0.25">
      <c r="A286" s="651" t="s">
        <v>609</v>
      </c>
      <c r="B286" s="665">
        <v>52857</v>
      </c>
      <c r="C286" s="652">
        <v>18749</v>
      </c>
      <c r="D286" s="655">
        <v>1285</v>
      </c>
      <c r="E286" s="646">
        <v>1190</v>
      </c>
      <c r="F286" s="636">
        <f t="shared" si="4"/>
        <v>-7.3929961089494164E-2</v>
      </c>
    </row>
    <row r="287" spans="1:6" x14ac:dyDescent="0.25">
      <c r="A287" s="651" t="s">
        <v>610</v>
      </c>
      <c r="B287" s="665">
        <v>68954</v>
      </c>
      <c r="C287" s="652">
        <v>3365</v>
      </c>
      <c r="D287" s="655">
        <v>679</v>
      </c>
      <c r="E287" s="646">
        <v>714</v>
      </c>
      <c r="F287" s="636">
        <f t="shared" si="4"/>
        <v>5.1546391752577317E-2</v>
      </c>
    </row>
    <row r="288" spans="1:6" x14ac:dyDescent="0.25">
      <c r="A288" s="651" t="s">
        <v>611</v>
      </c>
      <c r="B288" s="665">
        <v>62250</v>
      </c>
      <c r="C288" s="652">
        <v>5657</v>
      </c>
      <c r="D288" s="655">
        <v>253</v>
      </c>
      <c r="E288" s="646">
        <v>209</v>
      </c>
      <c r="F288" s="636">
        <f t="shared" si="4"/>
        <v>-0.17391304347826086</v>
      </c>
    </row>
    <row r="289" spans="1:6" x14ac:dyDescent="0.25">
      <c r="A289" s="651" t="s">
        <v>873</v>
      </c>
      <c r="B289" s="665">
        <v>54052</v>
      </c>
      <c r="C289" s="652">
        <v>10912</v>
      </c>
      <c r="D289" s="655">
        <v>2678</v>
      </c>
      <c r="E289" s="646">
        <v>2798</v>
      </c>
      <c r="F289" s="636">
        <f t="shared" si="4"/>
        <v>4.4809559372666168E-2</v>
      </c>
    </row>
    <row r="290" spans="1:6" x14ac:dyDescent="0.25">
      <c r="A290" s="651" t="s">
        <v>874</v>
      </c>
      <c r="B290" s="665">
        <v>47308</v>
      </c>
      <c r="C290" s="652">
        <v>20379</v>
      </c>
      <c r="D290" s="655">
        <v>1357</v>
      </c>
      <c r="E290" s="646">
        <v>1387</v>
      </c>
      <c r="F290" s="636">
        <f t="shared" si="4"/>
        <v>2.210759027266028E-2</v>
      </c>
    </row>
    <row r="291" spans="1:6" x14ac:dyDescent="0.25">
      <c r="A291" s="651" t="s">
        <v>875</v>
      </c>
      <c r="B291" s="665">
        <v>63892</v>
      </c>
      <c r="C291" s="652">
        <v>15887</v>
      </c>
      <c r="D291" s="655">
        <v>3071</v>
      </c>
      <c r="E291" s="646">
        <v>3109</v>
      </c>
      <c r="F291" s="636">
        <f t="shared" si="4"/>
        <v>1.2373819602735266E-2</v>
      </c>
    </row>
    <row r="292" spans="1:6" x14ac:dyDescent="0.25">
      <c r="A292" s="651" t="s">
        <v>876</v>
      </c>
      <c r="B292" s="665">
        <v>42936</v>
      </c>
      <c r="C292" s="652">
        <v>16509</v>
      </c>
      <c r="D292" s="655">
        <v>4371</v>
      </c>
      <c r="E292" s="646">
        <v>4102</v>
      </c>
      <c r="F292" s="636">
        <f t="shared" si="4"/>
        <v>-6.1541981239990849E-2</v>
      </c>
    </row>
    <row r="293" spans="1:6" x14ac:dyDescent="0.25">
      <c r="A293" s="651" t="s">
        <v>877</v>
      </c>
      <c r="B293" s="665">
        <v>57798</v>
      </c>
      <c r="C293" s="652">
        <v>5915</v>
      </c>
      <c r="D293" s="655">
        <v>2290</v>
      </c>
      <c r="E293" s="646">
        <v>2362</v>
      </c>
      <c r="F293" s="636">
        <f t="shared" si="4"/>
        <v>3.1441048034934499E-2</v>
      </c>
    </row>
    <row r="294" spans="1:6" hidden="1" x14ac:dyDescent="0.25">
      <c r="A294" s="651" t="s">
        <v>612</v>
      </c>
      <c r="B294" s="665" t="s">
        <v>1284</v>
      </c>
      <c r="C294" s="652" t="s">
        <v>1285</v>
      </c>
      <c r="D294" s="655">
        <v>143</v>
      </c>
      <c r="E294" s="646">
        <v>152</v>
      </c>
      <c r="F294" s="636">
        <f t="shared" si="4"/>
        <v>6.2937062937062943E-2</v>
      </c>
    </row>
    <row r="295" spans="1:6" x14ac:dyDescent="0.25">
      <c r="A295" s="651" t="s">
        <v>613</v>
      </c>
      <c r="B295" s="665">
        <v>91932</v>
      </c>
      <c r="C295" s="656">
        <v>17350</v>
      </c>
      <c r="D295" s="655">
        <v>2639</v>
      </c>
      <c r="E295" s="646">
        <v>2797</v>
      </c>
      <c r="F295" s="636">
        <f t="shared" si="4"/>
        <v>5.9871163319439182E-2</v>
      </c>
    </row>
    <row r="296" spans="1:6" x14ac:dyDescent="0.25">
      <c r="A296" s="659" t="s">
        <v>1295</v>
      </c>
      <c r="B296" s="665">
        <v>139063</v>
      </c>
      <c r="C296" s="652">
        <v>68696</v>
      </c>
      <c r="D296" s="655">
        <v>67</v>
      </c>
      <c r="E296" s="646">
        <v>64</v>
      </c>
      <c r="F296" s="636">
        <f t="shared" si="4"/>
        <v>-4.4776119402985072E-2</v>
      </c>
    </row>
    <row r="297" spans="1:6" x14ac:dyDescent="0.25">
      <c r="A297" s="651" t="s">
        <v>614</v>
      </c>
      <c r="B297" s="665">
        <v>80778</v>
      </c>
      <c r="C297" s="652">
        <v>18931</v>
      </c>
      <c r="D297" s="655">
        <v>4045</v>
      </c>
      <c r="E297" s="646">
        <v>4204</v>
      </c>
      <c r="F297" s="636">
        <f t="shared" si="4"/>
        <v>3.9307787391841778E-2</v>
      </c>
    </row>
    <row r="298" spans="1:6" x14ac:dyDescent="0.25">
      <c r="A298" s="651" t="s">
        <v>615</v>
      </c>
      <c r="B298" s="665">
        <v>78409</v>
      </c>
      <c r="C298" s="652">
        <v>7520</v>
      </c>
      <c r="D298" s="655">
        <v>897</v>
      </c>
      <c r="E298" s="646">
        <v>945</v>
      </c>
      <c r="F298" s="636">
        <f t="shared" si="4"/>
        <v>5.3511705685618728E-2</v>
      </c>
    </row>
    <row r="299" spans="1:6" x14ac:dyDescent="0.25">
      <c r="A299" s="651" t="s">
        <v>616</v>
      </c>
      <c r="B299" s="665">
        <v>52019</v>
      </c>
      <c r="C299" s="652">
        <v>9001</v>
      </c>
      <c r="D299" s="655">
        <v>657</v>
      </c>
      <c r="E299" s="646">
        <v>640</v>
      </c>
      <c r="F299" s="636">
        <f t="shared" si="4"/>
        <v>-2.5875190258751901E-2</v>
      </c>
    </row>
    <row r="300" spans="1:6" x14ac:dyDescent="0.25">
      <c r="A300" s="651" t="s">
        <v>617</v>
      </c>
      <c r="B300" s="665">
        <v>56771</v>
      </c>
      <c r="C300" s="652">
        <v>13299</v>
      </c>
      <c r="D300" s="655">
        <v>771</v>
      </c>
      <c r="E300" s="646">
        <v>735</v>
      </c>
      <c r="F300" s="636">
        <f t="shared" si="4"/>
        <v>-4.6692607003891051E-2</v>
      </c>
    </row>
    <row r="301" spans="1:6" x14ac:dyDescent="0.25">
      <c r="A301" s="651" t="s">
        <v>618</v>
      </c>
      <c r="B301" s="665">
        <v>63304</v>
      </c>
      <c r="C301" s="652">
        <v>14672</v>
      </c>
      <c r="D301" s="655">
        <v>1016</v>
      </c>
      <c r="E301" s="646">
        <v>1033</v>
      </c>
      <c r="F301" s="636">
        <f t="shared" si="4"/>
        <v>1.6732283464566931E-2</v>
      </c>
    </row>
    <row r="302" spans="1:6" x14ac:dyDescent="0.25">
      <c r="A302" s="651" t="s">
        <v>619</v>
      </c>
      <c r="B302" s="665">
        <v>60441</v>
      </c>
      <c r="C302" s="652">
        <v>6062</v>
      </c>
      <c r="D302" s="655">
        <v>206</v>
      </c>
      <c r="E302" s="646">
        <v>188</v>
      </c>
      <c r="F302" s="636">
        <f t="shared" si="4"/>
        <v>-8.7378640776699032E-2</v>
      </c>
    </row>
    <row r="303" spans="1:6" hidden="1" x14ac:dyDescent="0.25">
      <c r="A303" s="659" t="s">
        <v>1296</v>
      </c>
      <c r="B303" s="665" t="s">
        <v>1284</v>
      </c>
      <c r="C303" s="652" t="s">
        <v>1285</v>
      </c>
      <c r="D303" s="655">
        <v>40</v>
      </c>
      <c r="E303" s="646">
        <v>44</v>
      </c>
      <c r="F303" s="636">
        <f t="shared" si="4"/>
        <v>0.1</v>
      </c>
    </row>
    <row r="304" spans="1:6" x14ac:dyDescent="0.25">
      <c r="A304" s="651" t="s">
        <v>620</v>
      </c>
      <c r="B304" s="665">
        <v>80156</v>
      </c>
      <c r="C304" s="652">
        <v>12471</v>
      </c>
      <c r="D304" s="655">
        <v>911</v>
      </c>
      <c r="E304" s="646">
        <v>1004</v>
      </c>
      <c r="F304" s="636">
        <f t="shared" si="4"/>
        <v>0.10208562019758508</v>
      </c>
    </row>
    <row r="305" spans="1:6" x14ac:dyDescent="0.25">
      <c r="A305" s="651" t="s">
        <v>621</v>
      </c>
      <c r="B305" s="665">
        <v>48315</v>
      </c>
      <c r="C305" s="652">
        <v>7455</v>
      </c>
      <c r="D305" s="655">
        <v>510</v>
      </c>
      <c r="E305" s="646">
        <v>479</v>
      </c>
      <c r="F305" s="636">
        <f t="shared" si="4"/>
        <v>-6.0784313725490195E-2</v>
      </c>
    </row>
    <row r="306" spans="1:6" x14ac:dyDescent="0.25">
      <c r="A306" s="651" t="s">
        <v>622</v>
      </c>
      <c r="B306" s="665">
        <v>46250</v>
      </c>
      <c r="C306" s="652">
        <v>9493</v>
      </c>
      <c r="D306" s="655">
        <v>197</v>
      </c>
      <c r="E306" s="646">
        <v>188</v>
      </c>
      <c r="F306" s="636">
        <f t="shared" si="4"/>
        <v>-4.5685279187817257E-2</v>
      </c>
    </row>
    <row r="307" spans="1:6" x14ac:dyDescent="0.25">
      <c r="A307" s="651" t="s">
        <v>623</v>
      </c>
      <c r="B307" s="665">
        <v>92417</v>
      </c>
      <c r="C307" s="652">
        <v>11325</v>
      </c>
      <c r="D307" s="655">
        <v>2078</v>
      </c>
      <c r="E307" s="646">
        <v>2190</v>
      </c>
      <c r="F307" s="636">
        <f t="shared" si="4"/>
        <v>5.389797882579403E-2</v>
      </c>
    </row>
    <row r="308" spans="1:6" x14ac:dyDescent="0.25">
      <c r="A308" s="651" t="s">
        <v>624</v>
      </c>
      <c r="B308" s="665">
        <v>73664</v>
      </c>
      <c r="C308" s="652">
        <v>11001</v>
      </c>
      <c r="D308" s="655">
        <v>1640</v>
      </c>
      <c r="E308" s="646">
        <v>1793</v>
      </c>
      <c r="F308" s="636">
        <f t="shared" si="4"/>
        <v>9.3292682926829268E-2</v>
      </c>
    </row>
    <row r="309" spans="1:6" hidden="1" x14ac:dyDescent="0.25">
      <c r="A309" s="659" t="s">
        <v>1297</v>
      </c>
      <c r="B309" s="665" t="s">
        <v>1284</v>
      </c>
      <c r="C309" s="652" t="s">
        <v>1285</v>
      </c>
      <c r="D309" s="655">
        <v>6</v>
      </c>
      <c r="E309" s="646">
        <v>6</v>
      </c>
      <c r="F309" s="636">
        <f t="shared" si="4"/>
        <v>0</v>
      </c>
    </row>
    <row r="310" spans="1:6" x14ac:dyDescent="0.25">
      <c r="A310" s="651" t="s">
        <v>878</v>
      </c>
      <c r="B310" s="665">
        <v>68278</v>
      </c>
      <c r="C310" s="652">
        <v>9035</v>
      </c>
      <c r="D310" s="655">
        <v>3903</v>
      </c>
      <c r="E310" s="646">
        <v>3985</v>
      </c>
      <c r="F310" s="636">
        <f t="shared" si="4"/>
        <v>2.1009479887266206E-2</v>
      </c>
    </row>
    <row r="311" spans="1:6" x14ac:dyDescent="0.25">
      <c r="A311" s="651" t="s">
        <v>625</v>
      </c>
      <c r="B311" s="665">
        <v>111250</v>
      </c>
      <c r="C311" s="652">
        <v>68519</v>
      </c>
      <c r="D311" s="655">
        <v>40</v>
      </c>
      <c r="E311" s="646">
        <v>26</v>
      </c>
      <c r="F311" s="636">
        <f t="shared" si="4"/>
        <v>-0.35</v>
      </c>
    </row>
    <row r="312" spans="1:6" x14ac:dyDescent="0.25">
      <c r="A312" s="651" t="s">
        <v>626</v>
      </c>
      <c r="B312" s="665">
        <v>80625</v>
      </c>
      <c r="C312" s="652">
        <v>22994</v>
      </c>
      <c r="D312" s="655">
        <v>315</v>
      </c>
      <c r="E312" s="646">
        <v>316</v>
      </c>
      <c r="F312" s="636">
        <f t="shared" si="4"/>
        <v>3.1746031746031746E-3</v>
      </c>
    </row>
    <row r="313" spans="1:6" x14ac:dyDescent="0.25">
      <c r="A313" s="651" t="s">
        <v>627</v>
      </c>
      <c r="B313" s="665">
        <v>107781</v>
      </c>
      <c r="C313" s="652">
        <v>11584</v>
      </c>
      <c r="D313" s="655">
        <v>5560</v>
      </c>
      <c r="E313" s="646">
        <v>5776</v>
      </c>
      <c r="F313" s="636">
        <f t="shared" si="4"/>
        <v>3.884892086330935E-2</v>
      </c>
    </row>
    <row r="314" spans="1:6" x14ac:dyDescent="0.25">
      <c r="A314" s="651" t="s">
        <v>628</v>
      </c>
      <c r="B314" s="665">
        <v>53125</v>
      </c>
      <c r="C314" s="652">
        <v>14792</v>
      </c>
      <c r="D314" s="655">
        <v>529</v>
      </c>
      <c r="E314" s="646">
        <v>570</v>
      </c>
      <c r="F314" s="636">
        <f t="shared" si="4"/>
        <v>7.7504725897920609E-2</v>
      </c>
    </row>
    <row r="315" spans="1:6" x14ac:dyDescent="0.25">
      <c r="A315" s="651" t="s">
        <v>629</v>
      </c>
      <c r="B315" s="665">
        <v>58977</v>
      </c>
      <c r="C315" s="652">
        <v>9840</v>
      </c>
      <c r="D315" s="655">
        <v>735</v>
      </c>
      <c r="E315" s="646">
        <v>767</v>
      </c>
      <c r="F315" s="636">
        <f t="shared" si="4"/>
        <v>4.3537414965986392E-2</v>
      </c>
    </row>
    <row r="316" spans="1:6" x14ac:dyDescent="0.25">
      <c r="A316" s="651" t="s">
        <v>630</v>
      </c>
      <c r="B316" s="665">
        <v>61250</v>
      </c>
      <c r="C316" s="652">
        <v>22496</v>
      </c>
      <c r="D316" s="655">
        <v>1425</v>
      </c>
      <c r="E316" s="646">
        <v>1547</v>
      </c>
      <c r="F316" s="636">
        <f t="shared" si="4"/>
        <v>8.5614035087719295E-2</v>
      </c>
    </row>
    <row r="317" spans="1:6" x14ac:dyDescent="0.25">
      <c r="A317" s="651" t="s">
        <v>631</v>
      </c>
      <c r="B317" s="665">
        <v>52344</v>
      </c>
      <c r="C317" s="652">
        <v>21508</v>
      </c>
      <c r="D317" s="655">
        <v>596</v>
      </c>
      <c r="E317" s="646">
        <v>575</v>
      </c>
      <c r="F317" s="636">
        <f t="shared" si="4"/>
        <v>-3.5234899328859058E-2</v>
      </c>
    </row>
    <row r="318" spans="1:6" x14ac:dyDescent="0.25">
      <c r="A318" s="651" t="s">
        <v>632</v>
      </c>
      <c r="B318" s="665">
        <v>61413</v>
      </c>
      <c r="C318" s="652">
        <v>8676</v>
      </c>
      <c r="D318" s="655">
        <v>762</v>
      </c>
      <c r="E318" s="646">
        <v>755</v>
      </c>
      <c r="F318" s="636">
        <f t="shared" si="4"/>
        <v>-9.1863517060367453E-3</v>
      </c>
    </row>
    <row r="319" spans="1:6" x14ac:dyDescent="0.25">
      <c r="A319" s="651" t="s">
        <v>633</v>
      </c>
      <c r="B319" s="665">
        <v>78393</v>
      </c>
      <c r="C319" s="652">
        <v>6747</v>
      </c>
      <c r="D319" s="655">
        <v>1555</v>
      </c>
      <c r="E319" s="646">
        <v>1678</v>
      </c>
      <c r="F319" s="636">
        <f t="shared" si="4"/>
        <v>7.9099678456591646E-2</v>
      </c>
    </row>
    <row r="320" spans="1:6" x14ac:dyDescent="0.25">
      <c r="A320" s="651" t="s">
        <v>879</v>
      </c>
      <c r="B320" s="665">
        <v>79667</v>
      </c>
      <c r="C320" s="652">
        <v>11928</v>
      </c>
      <c r="D320" s="655">
        <v>1755</v>
      </c>
      <c r="E320" s="646">
        <v>1902</v>
      </c>
      <c r="F320" s="636">
        <f t="shared" si="4"/>
        <v>8.3760683760683755E-2</v>
      </c>
    </row>
    <row r="321" spans="1:6" x14ac:dyDescent="0.25">
      <c r="A321" s="651" t="s">
        <v>634</v>
      </c>
      <c r="B321" s="665">
        <v>57188</v>
      </c>
      <c r="C321" s="652">
        <v>18251</v>
      </c>
      <c r="D321" s="655">
        <v>1571</v>
      </c>
      <c r="E321" s="646">
        <v>1667</v>
      </c>
      <c r="F321" s="636">
        <f t="shared" si="4"/>
        <v>6.1107574793125397E-2</v>
      </c>
    </row>
    <row r="322" spans="1:6" x14ac:dyDescent="0.25">
      <c r="A322" s="651" t="s">
        <v>880</v>
      </c>
      <c r="B322" s="665">
        <v>62708</v>
      </c>
      <c r="C322" s="652">
        <v>6275</v>
      </c>
      <c r="D322" s="655">
        <v>3204</v>
      </c>
      <c r="E322" s="646">
        <v>3154</v>
      </c>
      <c r="F322" s="636">
        <f t="shared" si="4"/>
        <v>-1.5605493133583021E-2</v>
      </c>
    </row>
    <row r="323" spans="1:6" x14ac:dyDescent="0.25">
      <c r="A323" s="651" t="s">
        <v>635</v>
      </c>
      <c r="B323" s="665">
        <v>63750</v>
      </c>
      <c r="C323" s="652">
        <v>11939</v>
      </c>
      <c r="D323" s="655">
        <v>353</v>
      </c>
      <c r="E323" s="646">
        <v>427</v>
      </c>
      <c r="F323" s="636">
        <f t="shared" si="4"/>
        <v>0.20963172804532579</v>
      </c>
    </row>
    <row r="324" spans="1:6" x14ac:dyDescent="0.25">
      <c r="A324" s="651" t="s">
        <v>636</v>
      </c>
      <c r="B324" s="665">
        <v>96667</v>
      </c>
      <c r="C324" s="652">
        <v>14085</v>
      </c>
      <c r="D324" s="655">
        <v>1663</v>
      </c>
      <c r="E324" s="646">
        <v>1883</v>
      </c>
      <c r="F324" s="636">
        <f t="shared" ref="F324:F389" si="5">(E324-D324)/D324</f>
        <v>0.132291040288635</v>
      </c>
    </row>
    <row r="325" spans="1:6" x14ac:dyDescent="0.25">
      <c r="A325" s="651" t="s">
        <v>881</v>
      </c>
      <c r="B325" s="665">
        <v>63594</v>
      </c>
      <c r="C325" s="652">
        <v>20021</v>
      </c>
      <c r="D325" s="655">
        <v>3343</v>
      </c>
      <c r="E325" s="646">
        <v>3316</v>
      </c>
      <c r="F325" s="636">
        <f t="shared" si="5"/>
        <v>-8.0765779240203409E-3</v>
      </c>
    </row>
    <row r="326" spans="1:6" x14ac:dyDescent="0.25">
      <c r="A326" s="651" t="s">
        <v>882</v>
      </c>
      <c r="B326" s="665">
        <v>94848</v>
      </c>
      <c r="C326" s="652">
        <v>17305</v>
      </c>
      <c r="D326" s="655">
        <v>4687</v>
      </c>
      <c r="E326" s="646">
        <v>5200</v>
      </c>
      <c r="F326" s="636">
        <f>(E326-D326)/D326</f>
        <v>0.10945167484531683</v>
      </c>
    </row>
    <row r="327" spans="1:6" hidden="1" x14ac:dyDescent="0.25">
      <c r="A327" s="659" t="s">
        <v>1298</v>
      </c>
      <c r="B327" s="665" t="s">
        <v>1284</v>
      </c>
      <c r="C327" s="652" t="s">
        <v>1285</v>
      </c>
      <c r="D327" s="655">
        <v>54</v>
      </c>
      <c r="E327" s="646">
        <v>41</v>
      </c>
      <c r="F327" s="636">
        <f>(E327-D327)/D327</f>
        <v>-0.24074074074074073</v>
      </c>
    </row>
    <row r="328" spans="1:6" x14ac:dyDescent="0.25">
      <c r="A328" s="651" t="s">
        <v>637</v>
      </c>
      <c r="B328" s="665">
        <v>93667</v>
      </c>
      <c r="C328" s="652">
        <v>7208</v>
      </c>
      <c r="D328" s="655">
        <v>370</v>
      </c>
      <c r="E328" s="646">
        <v>425</v>
      </c>
      <c r="F328" s="636">
        <f t="shared" si="5"/>
        <v>0.14864864864864866</v>
      </c>
    </row>
    <row r="329" spans="1:6" hidden="1" x14ac:dyDescent="0.25">
      <c r="A329" s="659" t="s">
        <v>1299</v>
      </c>
      <c r="B329" s="665" t="s">
        <v>1284</v>
      </c>
      <c r="C329" s="652" t="s">
        <v>1285</v>
      </c>
      <c r="D329" s="655">
        <v>23</v>
      </c>
      <c r="E329" s="646">
        <v>66</v>
      </c>
      <c r="F329" s="636">
        <f t="shared" si="5"/>
        <v>1.8695652173913044</v>
      </c>
    </row>
    <row r="330" spans="1:6" x14ac:dyDescent="0.25">
      <c r="A330" s="651" t="s">
        <v>638</v>
      </c>
      <c r="B330" s="665">
        <v>69076</v>
      </c>
      <c r="C330" s="652">
        <v>25990</v>
      </c>
      <c r="D330" s="655">
        <v>443</v>
      </c>
      <c r="E330" s="646">
        <v>409</v>
      </c>
      <c r="F330" s="636">
        <f t="shared" si="5"/>
        <v>-7.6749435665914217E-2</v>
      </c>
    </row>
    <row r="331" spans="1:6" x14ac:dyDescent="0.25">
      <c r="A331" s="651" t="s">
        <v>639</v>
      </c>
      <c r="B331" s="665">
        <v>55385</v>
      </c>
      <c r="C331" s="652">
        <v>12077</v>
      </c>
      <c r="D331" s="655">
        <v>497</v>
      </c>
      <c r="E331" s="646">
        <v>508</v>
      </c>
      <c r="F331" s="636">
        <f t="shared" si="5"/>
        <v>2.2132796780684104E-2</v>
      </c>
    </row>
    <row r="332" spans="1:6" x14ac:dyDescent="0.25">
      <c r="A332" s="651" t="s">
        <v>640</v>
      </c>
      <c r="B332" s="665">
        <v>119813</v>
      </c>
      <c r="C332" s="652">
        <v>16140</v>
      </c>
      <c r="D332" s="655">
        <v>3688</v>
      </c>
      <c r="E332" s="646">
        <v>4310</v>
      </c>
      <c r="F332" s="636">
        <f t="shared" si="5"/>
        <v>0.16865509761388287</v>
      </c>
    </row>
    <row r="333" spans="1:6" x14ac:dyDescent="0.25">
      <c r="A333" s="651" t="s">
        <v>641</v>
      </c>
      <c r="B333" s="665">
        <v>53810</v>
      </c>
      <c r="C333" s="652">
        <v>25759</v>
      </c>
      <c r="D333" s="655">
        <v>283</v>
      </c>
      <c r="E333" s="646">
        <v>313</v>
      </c>
      <c r="F333" s="636">
        <f t="shared" si="5"/>
        <v>0.10600706713780919</v>
      </c>
    </row>
    <row r="334" spans="1:6" x14ac:dyDescent="0.25">
      <c r="A334" s="651" t="s">
        <v>642</v>
      </c>
      <c r="B334" s="665">
        <v>61563</v>
      </c>
      <c r="C334" s="652">
        <v>19078</v>
      </c>
      <c r="D334" s="655">
        <v>382</v>
      </c>
      <c r="E334" s="646">
        <v>370</v>
      </c>
      <c r="F334" s="636">
        <f t="shared" si="5"/>
        <v>-3.1413612565445025E-2</v>
      </c>
    </row>
    <row r="335" spans="1:6" x14ac:dyDescent="0.25">
      <c r="A335" s="651" t="s">
        <v>643</v>
      </c>
      <c r="B335" s="665">
        <v>63750</v>
      </c>
      <c r="C335" s="652">
        <v>22374</v>
      </c>
      <c r="D335" s="655">
        <v>156</v>
      </c>
      <c r="E335" s="646">
        <v>181</v>
      </c>
      <c r="F335" s="636">
        <f t="shared" si="5"/>
        <v>0.16025641025641027</v>
      </c>
    </row>
    <row r="336" spans="1:6" hidden="1" x14ac:dyDescent="0.25">
      <c r="A336" s="657" t="s">
        <v>883</v>
      </c>
      <c r="B336" s="666">
        <v>85000</v>
      </c>
      <c r="C336" s="647">
        <v>12703</v>
      </c>
      <c r="D336" s="661"/>
      <c r="E336" s="647"/>
      <c r="F336" s="636"/>
    </row>
    <row r="337" spans="1:6" hidden="1" x14ac:dyDescent="0.25">
      <c r="A337" s="657" t="s">
        <v>884</v>
      </c>
      <c r="B337" s="666">
        <v>60938</v>
      </c>
      <c r="C337" s="647">
        <v>33466</v>
      </c>
      <c r="D337" s="661"/>
      <c r="E337" s="647"/>
      <c r="F337" s="636"/>
    </row>
    <row r="338" spans="1:6" x14ac:dyDescent="0.25">
      <c r="A338" s="651" t="s">
        <v>644</v>
      </c>
      <c r="B338" s="665">
        <v>71765</v>
      </c>
      <c r="C338" s="652">
        <v>13074</v>
      </c>
      <c r="D338" s="655">
        <v>1517</v>
      </c>
      <c r="E338" s="646">
        <v>1613</v>
      </c>
      <c r="F338" s="636">
        <f t="shared" si="5"/>
        <v>6.3282794990112065E-2</v>
      </c>
    </row>
    <row r="339" spans="1:6" hidden="1" x14ac:dyDescent="0.25">
      <c r="A339" s="651" t="s">
        <v>1300</v>
      </c>
      <c r="B339" s="665" t="s">
        <v>1284</v>
      </c>
      <c r="C339" s="652" t="s">
        <v>1285</v>
      </c>
      <c r="D339" s="655">
        <v>10</v>
      </c>
      <c r="E339" s="646">
        <v>9</v>
      </c>
      <c r="F339" s="636">
        <f t="shared" si="5"/>
        <v>-0.1</v>
      </c>
    </row>
    <row r="340" spans="1:6" hidden="1" x14ac:dyDescent="0.25">
      <c r="A340" s="648" t="s">
        <v>1301</v>
      </c>
      <c r="B340" s="665" t="s">
        <v>1284</v>
      </c>
      <c r="C340" s="652" t="s">
        <v>1285</v>
      </c>
      <c r="D340" s="655">
        <v>2</v>
      </c>
      <c r="E340" s="646">
        <v>4</v>
      </c>
      <c r="F340" s="636">
        <f t="shared" si="5"/>
        <v>1</v>
      </c>
    </row>
    <row r="341" spans="1:6" hidden="1" x14ac:dyDescent="0.25">
      <c r="A341" s="648" t="s">
        <v>1302</v>
      </c>
      <c r="B341" s="665" t="s">
        <v>1284</v>
      </c>
      <c r="C341" s="652" t="s">
        <v>1285</v>
      </c>
      <c r="D341" s="655">
        <v>144</v>
      </c>
      <c r="E341" s="646">
        <v>141</v>
      </c>
      <c r="F341" s="636">
        <f t="shared" si="5"/>
        <v>-2.0833333333333332E-2</v>
      </c>
    </row>
    <row r="342" spans="1:6" hidden="1" x14ac:dyDescent="0.25">
      <c r="A342" s="659" t="s">
        <v>1303</v>
      </c>
      <c r="B342" s="665" t="s">
        <v>1284</v>
      </c>
      <c r="C342" s="652" t="s">
        <v>1285</v>
      </c>
      <c r="D342" s="655">
        <v>54</v>
      </c>
      <c r="E342" s="646">
        <v>39</v>
      </c>
      <c r="F342" s="636">
        <f t="shared" si="5"/>
        <v>-0.27777777777777779</v>
      </c>
    </row>
    <row r="343" spans="1:6" x14ac:dyDescent="0.25">
      <c r="A343" s="651" t="s">
        <v>885</v>
      </c>
      <c r="B343" s="665">
        <v>53162</v>
      </c>
      <c r="C343" s="652">
        <v>14816</v>
      </c>
      <c r="D343" s="655">
        <v>5014</v>
      </c>
      <c r="E343" s="646">
        <v>5288</v>
      </c>
      <c r="F343" s="636">
        <f t="shared" si="5"/>
        <v>5.4646988432389312E-2</v>
      </c>
    </row>
    <row r="344" spans="1:6" x14ac:dyDescent="0.25">
      <c r="A344" s="651" t="s">
        <v>886</v>
      </c>
      <c r="B344" s="665">
        <v>46696</v>
      </c>
      <c r="C344" s="652">
        <v>7121</v>
      </c>
      <c r="D344" s="655">
        <v>711</v>
      </c>
      <c r="E344" s="646">
        <v>666</v>
      </c>
      <c r="F344" s="636">
        <f t="shared" si="5"/>
        <v>-6.3291139240506333E-2</v>
      </c>
    </row>
    <row r="345" spans="1:6" x14ac:dyDescent="0.25">
      <c r="A345" s="651" t="s">
        <v>887</v>
      </c>
      <c r="B345" s="665">
        <v>74230</v>
      </c>
      <c r="C345" s="652">
        <v>12779</v>
      </c>
      <c r="D345" s="655">
        <v>6211</v>
      </c>
      <c r="E345" s="646">
        <v>6357</v>
      </c>
      <c r="F345" s="634">
        <f t="shared" si="5"/>
        <v>2.350668169376912E-2</v>
      </c>
    </row>
    <row r="346" spans="1:6" x14ac:dyDescent="0.25">
      <c r="A346" s="651" t="s">
        <v>645</v>
      </c>
      <c r="B346" s="665">
        <v>104250</v>
      </c>
      <c r="C346" s="652">
        <v>28837</v>
      </c>
      <c r="D346" s="655">
        <v>1120</v>
      </c>
      <c r="E346" s="646">
        <v>1599</v>
      </c>
      <c r="F346" s="636">
        <f t="shared" si="5"/>
        <v>0.42767857142857141</v>
      </c>
    </row>
    <row r="347" spans="1:6" x14ac:dyDescent="0.25">
      <c r="A347" s="651" t="s">
        <v>888</v>
      </c>
      <c r="B347" s="665">
        <v>65842</v>
      </c>
      <c r="C347" s="652">
        <v>10728</v>
      </c>
      <c r="D347" s="655">
        <v>8631</v>
      </c>
      <c r="E347" s="646">
        <v>9369</v>
      </c>
      <c r="F347" s="636">
        <f t="shared" si="5"/>
        <v>8.5505735140771644E-2</v>
      </c>
    </row>
    <row r="348" spans="1:6" x14ac:dyDescent="0.25">
      <c r="A348" s="651" t="s">
        <v>646</v>
      </c>
      <c r="B348" s="665">
        <v>49329</v>
      </c>
      <c r="C348" s="652">
        <v>3547</v>
      </c>
      <c r="D348" s="655">
        <v>7711</v>
      </c>
      <c r="E348" s="646">
        <v>7431</v>
      </c>
      <c r="F348" s="636">
        <f t="shared" si="5"/>
        <v>-3.63117624173259E-2</v>
      </c>
    </row>
    <row r="349" spans="1:6" x14ac:dyDescent="0.25">
      <c r="A349" s="659" t="s">
        <v>1304</v>
      </c>
      <c r="B349" s="665">
        <v>29844</v>
      </c>
      <c r="C349" s="652">
        <v>15697</v>
      </c>
      <c r="D349" s="655">
        <v>148</v>
      </c>
      <c r="E349" s="646">
        <v>155</v>
      </c>
      <c r="F349" s="636">
        <f t="shared" si="5"/>
        <v>4.72972972972973E-2</v>
      </c>
    </row>
    <row r="350" spans="1:6" x14ac:dyDescent="0.25">
      <c r="A350" s="651" t="s">
        <v>647</v>
      </c>
      <c r="B350" s="665">
        <v>82763</v>
      </c>
      <c r="C350" s="652">
        <v>21040</v>
      </c>
      <c r="D350" s="655">
        <v>2232</v>
      </c>
      <c r="E350" s="646">
        <v>2227</v>
      </c>
      <c r="F350" s="636">
        <f t="shared" si="5"/>
        <v>-2.2401433691756271E-3</v>
      </c>
    </row>
    <row r="351" spans="1:6" x14ac:dyDescent="0.25">
      <c r="A351" s="651" t="s">
        <v>889</v>
      </c>
      <c r="B351" s="665">
        <v>58893</v>
      </c>
      <c r="C351" s="652">
        <v>6712</v>
      </c>
      <c r="D351" s="655">
        <v>10848</v>
      </c>
      <c r="E351" s="646">
        <v>12253</v>
      </c>
      <c r="F351" s="636">
        <f t="shared" si="5"/>
        <v>0.12951696165191739</v>
      </c>
    </row>
    <row r="352" spans="1:6" x14ac:dyDescent="0.25">
      <c r="A352" s="651" t="s">
        <v>648</v>
      </c>
      <c r="B352" s="665">
        <v>92583</v>
      </c>
      <c r="C352" s="652">
        <v>23437</v>
      </c>
      <c r="D352" s="655">
        <v>3740</v>
      </c>
      <c r="E352" s="646">
        <v>3874</v>
      </c>
      <c r="F352" s="636">
        <f t="shared" si="5"/>
        <v>3.5828877005347592E-2</v>
      </c>
    </row>
    <row r="353" spans="1:6" hidden="1" x14ac:dyDescent="0.25">
      <c r="A353" s="651" t="s">
        <v>649</v>
      </c>
      <c r="B353" s="665" t="s">
        <v>1284</v>
      </c>
      <c r="C353" s="652" t="s">
        <v>1285</v>
      </c>
      <c r="D353" s="655">
        <v>67</v>
      </c>
      <c r="E353" s="646">
        <v>66</v>
      </c>
      <c r="F353" s="636">
        <f t="shared" si="5"/>
        <v>-1.4925373134328358E-2</v>
      </c>
    </row>
    <row r="354" spans="1:6" ht="12" customHeight="1" x14ac:dyDescent="0.25">
      <c r="A354" s="651" t="s">
        <v>650</v>
      </c>
      <c r="B354" s="665">
        <v>98487</v>
      </c>
      <c r="C354" s="652">
        <v>17614</v>
      </c>
      <c r="D354" s="655">
        <v>671</v>
      </c>
      <c r="E354" s="646">
        <v>671</v>
      </c>
      <c r="F354" s="636">
        <f t="shared" si="5"/>
        <v>0</v>
      </c>
    </row>
    <row r="355" spans="1:6" x14ac:dyDescent="0.25">
      <c r="A355" s="651" t="s">
        <v>651</v>
      </c>
      <c r="B355" s="665">
        <v>80000</v>
      </c>
      <c r="C355" s="652">
        <v>11438</v>
      </c>
      <c r="D355" s="655">
        <v>1777</v>
      </c>
      <c r="E355" s="646">
        <v>1892</v>
      </c>
      <c r="F355" s="636">
        <f t="shared" si="5"/>
        <v>6.471581316826111E-2</v>
      </c>
    </row>
    <row r="356" spans="1:6" x14ac:dyDescent="0.25">
      <c r="A356" s="651" t="s">
        <v>652</v>
      </c>
      <c r="B356" s="665">
        <v>82250</v>
      </c>
      <c r="C356" s="652">
        <v>12602</v>
      </c>
      <c r="D356" s="655">
        <v>1543</v>
      </c>
      <c r="E356" s="646">
        <v>1508</v>
      </c>
      <c r="F356" s="636">
        <f t="shared" si="5"/>
        <v>-2.2683084899546339E-2</v>
      </c>
    </row>
    <row r="357" spans="1:6" x14ac:dyDescent="0.25">
      <c r="A357" s="651" t="s">
        <v>890</v>
      </c>
      <c r="B357" s="665">
        <v>54730</v>
      </c>
      <c r="C357" s="652">
        <v>18626</v>
      </c>
      <c r="D357" s="655">
        <v>4107</v>
      </c>
      <c r="E357" s="646">
        <v>4372</v>
      </c>
      <c r="F357" s="636">
        <f t="shared" si="5"/>
        <v>6.4523983442902361E-2</v>
      </c>
    </row>
    <row r="358" spans="1:6" x14ac:dyDescent="0.25">
      <c r="A358" s="651" t="s">
        <v>653</v>
      </c>
      <c r="B358" s="665">
        <v>92344</v>
      </c>
      <c r="C358" s="652">
        <v>13426</v>
      </c>
      <c r="D358" s="655">
        <v>1551</v>
      </c>
      <c r="E358" s="646">
        <v>1628</v>
      </c>
      <c r="F358" s="636">
        <f t="shared" si="5"/>
        <v>4.9645390070921988E-2</v>
      </c>
    </row>
    <row r="359" spans="1:6" x14ac:dyDescent="0.25">
      <c r="A359" s="651" t="s">
        <v>654</v>
      </c>
      <c r="B359" s="665">
        <v>49261</v>
      </c>
      <c r="C359" s="652">
        <v>8225</v>
      </c>
      <c r="D359" s="655">
        <v>1963</v>
      </c>
      <c r="E359" s="646">
        <v>2003</v>
      </c>
      <c r="F359" s="636">
        <f t="shared" si="5"/>
        <v>2.0376974019358125E-2</v>
      </c>
    </row>
    <row r="360" spans="1:6" x14ac:dyDescent="0.25">
      <c r="A360" s="651" t="s">
        <v>655</v>
      </c>
      <c r="B360" s="665">
        <v>68197</v>
      </c>
      <c r="C360" s="652">
        <v>18534</v>
      </c>
      <c r="D360" s="655">
        <v>5185</v>
      </c>
      <c r="E360" s="646">
        <v>5367</v>
      </c>
      <c r="F360" s="636">
        <f t="shared" si="5"/>
        <v>3.5101253616200576E-2</v>
      </c>
    </row>
    <row r="361" spans="1:6" x14ac:dyDescent="0.25">
      <c r="A361" s="651" t="s">
        <v>656</v>
      </c>
      <c r="B361" s="665">
        <v>52222</v>
      </c>
      <c r="C361" s="652">
        <v>23383</v>
      </c>
      <c r="D361" s="655">
        <v>803</v>
      </c>
      <c r="E361" s="646">
        <v>771</v>
      </c>
      <c r="F361" s="636">
        <f t="shared" si="5"/>
        <v>-3.9850560398505604E-2</v>
      </c>
    </row>
    <row r="362" spans="1:6" x14ac:dyDescent="0.25">
      <c r="A362" s="651" t="s">
        <v>657</v>
      </c>
      <c r="B362" s="665">
        <v>61250</v>
      </c>
      <c r="C362" s="652">
        <v>18404</v>
      </c>
      <c r="D362" s="655">
        <v>1845</v>
      </c>
      <c r="E362" s="646">
        <v>1815</v>
      </c>
      <c r="F362" s="636">
        <f t="shared" si="5"/>
        <v>-1.6260162601626018E-2</v>
      </c>
    </row>
    <row r="363" spans="1:6" x14ac:dyDescent="0.25">
      <c r="A363" s="651" t="s">
        <v>658</v>
      </c>
      <c r="B363" s="665">
        <v>51667</v>
      </c>
      <c r="C363" s="652">
        <v>17851</v>
      </c>
      <c r="D363" s="655">
        <v>367</v>
      </c>
      <c r="E363" s="646">
        <v>358</v>
      </c>
      <c r="F363" s="636">
        <f t="shared" si="5"/>
        <v>-2.4523160762942781E-2</v>
      </c>
    </row>
    <row r="364" spans="1:6" x14ac:dyDescent="0.25">
      <c r="A364" s="651" t="s">
        <v>659</v>
      </c>
      <c r="B364" s="665">
        <v>29211</v>
      </c>
      <c r="C364" s="652">
        <v>10887</v>
      </c>
      <c r="D364" s="655">
        <v>723</v>
      </c>
      <c r="E364" s="646">
        <v>771</v>
      </c>
      <c r="F364" s="636">
        <f t="shared" si="5"/>
        <v>6.6390041493775934E-2</v>
      </c>
    </row>
    <row r="365" spans="1:6" x14ac:dyDescent="0.25">
      <c r="A365" s="651" t="s">
        <v>660</v>
      </c>
      <c r="B365" s="665">
        <v>45000</v>
      </c>
      <c r="C365" s="652">
        <v>21345</v>
      </c>
      <c r="D365" s="655">
        <v>724</v>
      </c>
      <c r="E365" s="646">
        <v>696</v>
      </c>
      <c r="F365" s="636">
        <f t="shared" si="5"/>
        <v>-3.8674033149171269E-2</v>
      </c>
    </row>
    <row r="366" spans="1:6" x14ac:dyDescent="0.25">
      <c r="A366" s="651" t="s">
        <v>891</v>
      </c>
      <c r="B366" s="665">
        <v>47857</v>
      </c>
      <c r="C366" s="652">
        <v>7516</v>
      </c>
      <c r="D366" s="655">
        <v>970</v>
      </c>
      <c r="E366" s="646">
        <v>891</v>
      </c>
      <c r="F366" s="636">
        <f t="shared" si="5"/>
        <v>-8.1443298969072167E-2</v>
      </c>
    </row>
    <row r="367" spans="1:6" x14ac:dyDescent="0.25">
      <c r="A367" s="651" t="s">
        <v>661</v>
      </c>
      <c r="B367" s="665">
        <v>67563</v>
      </c>
      <c r="C367" s="652">
        <v>12025</v>
      </c>
      <c r="D367" s="655">
        <v>813</v>
      </c>
      <c r="E367" s="646">
        <v>790</v>
      </c>
      <c r="F367" s="636">
        <f t="shared" si="5"/>
        <v>-2.8290282902829027E-2</v>
      </c>
    </row>
    <row r="368" spans="1:6" hidden="1" x14ac:dyDescent="0.25">
      <c r="A368" s="659" t="s">
        <v>1305</v>
      </c>
      <c r="B368" s="665" t="s">
        <v>1284</v>
      </c>
      <c r="C368" s="652" t="s">
        <v>1285</v>
      </c>
      <c r="D368" s="655">
        <v>0</v>
      </c>
      <c r="E368" s="646">
        <v>0</v>
      </c>
      <c r="F368" s="636" t="e">
        <f t="shared" si="5"/>
        <v>#DIV/0!</v>
      </c>
    </row>
    <row r="369" spans="1:6" x14ac:dyDescent="0.25">
      <c r="A369" s="651" t="s">
        <v>662</v>
      </c>
      <c r="B369" s="665">
        <v>54844</v>
      </c>
      <c r="C369" s="652">
        <v>11403</v>
      </c>
      <c r="D369" s="655">
        <v>532</v>
      </c>
      <c r="E369" s="646">
        <v>373</v>
      </c>
      <c r="F369" s="636">
        <f t="shared" si="5"/>
        <v>-0.29887218045112784</v>
      </c>
    </row>
    <row r="370" spans="1:6" x14ac:dyDescent="0.25">
      <c r="A370" s="651" t="s">
        <v>663</v>
      </c>
      <c r="B370" s="665">
        <v>52500</v>
      </c>
      <c r="C370" s="652">
        <v>10048</v>
      </c>
      <c r="D370" s="655">
        <v>1197</v>
      </c>
      <c r="E370" s="646">
        <v>1135</v>
      </c>
      <c r="F370" s="636">
        <f t="shared" si="5"/>
        <v>-5.1796157059314951E-2</v>
      </c>
    </row>
    <row r="371" spans="1:6" x14ac:dyDescent="0.25">
      <c r="A371" s="651" t="s">
        <v>664</v>
      </c>
      <c r="B371" s="665">
        <v>53750</v>
      </c>
      <c r="C371" s="652">
        <v>10501</v>
      </c>
      <c r="D371" s="655">
        <v>376</v>
      </c>
      <c r="E371" s="646">
        <v>374</v>
      </c>
      <c r="F371" s="636">
        <f t="shared" si="5"/>
        <v>-5.3191489361702126E-3</v>
      </c>
    </row>
    <row r="372" spans="1:6" hidden="1" x14ac:dyDescent="0.25">
      <c r="A372" s="659" t="s">
        <v>1306</v>
      </c>
      <c r="B372" s="665" t="s">
        <v>1284</v>
      </c>
      <c r="C372" s="652" t="s">
        <v>1285</v>
      </c>
      <c r="D372" s="655">
        <v>0</v>
      </c>
      <c r="E372" s="646">
        <v>0</v>
      </c>
      <c r="F372" s="636" t="e">
        <f t="shared" si="5"/>
        <v>#DIV/0!</v>
      </c>
    </row>
    <row r="373" spans="1:6" x14ac:dyDescent="0.25">
      <c r="A373" s="651" t="s">
        <v>665</v>
      </c>
      <c r="B373" s="665">
        <v>79297</v>
      </c>
      <c r="C373" s="652">
        <v>7345</v>
      </c>
      <c r="D373" s="655">
        <v>882</v>
      </c>
      <c r="E373" s="646">
        <v>806</v>
      </c>
      <c r="F373" s="636">
        <f t="shared" si="5"/>
        <v>-8.6167800453514742E-2</v>
      </c>
    </row>
    <row r="374" spans="1:6" x14ac:dyDescent="0.25">
      <c r="A374" s="651" t="s">
        <v>666</v>
      </c>
      <c r="B374" s="665">
        <v>67500</v>
      </c>
      <c r="C374" s="652">
        <v>18759</v>
      </c>
      <c r="D374" s="655">
        <v>1519</v>
      </c>
      <c r="E374" s="646">
        <v>1513</v>
      </c>
      <c r="F374" s="636">
        <f t="shared" si="5"/>
        <v>-3.9499670836076368E-3</v>
      </c>
    </row>
    <row r="375" spans="1:6" x14ac:dyDescent="0.25">
      <c r="A375" s="651" t="s">
        <v>667</v>
      </c>
      <c r="B375" s="665">
        <v>38750</v>
      </c>
      <c r="C375" s="652">
        <v>16636</v>
      </c>
      <c r="D375" s="655">
        <v>991</v>
      </c>
      <c r="E375" s="646">
        <v>928</v>
      </c>
      <c r="F375" s="636">
        <f t="shared" si="5"/>
        <v>-6.357214934409687E-2</v>
      </c>
    </row>
    <row r="376" spans="1:6" x14ac:dyDescent="0.25">
      <c r="A376" s="651" t="s">
        <v>668</v>
      </c>
      <c r="B376" s="665">
        <v>102446</v>
      </c>
      <c r="C376" s="652">
        <v>13630</v>
      </c>
      <c r="D376" s="655">
        <v>2181</v>
      </c>
      <c r="E376" s="646">
        <v>2205</v>
      </c>
      <c r="F376" s="636">
        <f t="shared" si="5"/>
        <v>1.1004126547455296E-2</v>
      </c>
    </row>
    <row r="377" spans="1:6" x14ac:dyDescent="0.25">
      <c r="A377" s="651" t="s">
        <v>892</v>
      </c>
      <c r="B377" s="665">
        <v>55822</v>
      </c>
      <c r="C377" s="652">
        <v>7894</v>
      </c>
      <c r="D377" s="655">
        <v>4123</v>
      </c>
      <c r="E377" s="646">
        <v>3931</v>
      </c>
      <c r="F377" s="636">
        <f t="shared" si="5"/>
        <v>-4.6568032985690032E-2</v>
      </c>
    </row>
    <row r="378" spans="1:6" x14ac:dyDescent="0.25">
      <c r="A378" s="651" t="s">
        <v>669</v>
      </c>
      <c r="B378" s="665">
        <v>81250</v>
      </c>
      <c r="C378" s="652">
        <v>24982</v>
      </c>
      <c r="D378" s="655">
        <v>2667</v>
      </c>
      <c r="E378" s="646">
        <v>3211</v>
      </c>
      <c r="F378" s="636">
        <f t="shared" si="5"/>
        <v>0.20397450318710161</v>
      </c>
    </row>
    <row r="379" spans="1:6" x14ac:dyDescent="0.25">
      <c r="A379" s="651" t="s">
        <v>670</v>
      </c>
      <c r="B379" s="665">
        <v>39583</v>
      </c>
      <c r="C379" s="652">
        <v>16250</v>
      </c>
      <c r="D379" s="655">
        <v>91</v>
      </c>
      <c r="E379" s="646">
        <v>86</v>
      </c>
      <c r="F379" s="636">
        <f t="shared" si="5"/>
        <v>-5.4945054945054944E-2</v>
      </c>
    </row>
    <row r="380" spans="1:6" x14ac:dyDescent="0.25">
      <c r="A380" s="651" t="s">
        <v>671</v>
      </c>
      <c r="B380" s="665">
        <v>60625</v>
      </c>
      <c r="C380" s="652">
        <v>5161</v>
      </c>
      <c r="D380" s="655">
        <v>1339</v>
      </c>
      <c r="E380" s="646">
        <v>1330</v>
      </c>
      <c r="F380" s="636">
        <f t="shared" si="5"/>
        <v>-6.7214339058999251E-3</v>
      </c>
    </row>
    <row r="381" spans="1:6" x14ac:dyDescent="0.25">
      <c r="A381" s="651" t="s">
        <v>672</v>
      </c>
      <c r="B381" s="665">
        <v>94625</v>
      </c>
      <c r="C381" s="656">
        <v>32418</v>
      </c>
      <c r="D381" s="655">
        <v>5544</v>
      </c>
      <c r="E381" s="646">
        <v>5956</v>
      </c>
      <c r="F381" s="636">
        <f t="shared" si="5"/>
        <v>7.4314574314574319E-2</v>
      </c>
    </row>
    <row r="382" spans="1:6" x14ac:dyDescent="0.25">
      <c r="A382" s="651" t="s">
        <v>673</v>
      </c>
      <c r="B382" s="665">
        <v>46750</v>
      </c>
      <c r="C382" s="652">
        <v>21853</v>
      </c>
      <c r="D382" s="655">
        <v>379</v>
      </c>
      <c r="E382" s="646">
        <v>365</v>
      </c>
      <c r="F382" s="636">
        <f t="shared" si="5"/>
        <v>-3.6939313984168866E-2</v>
      </c>
    </row>
    <row r="383" spans="1:6" x14ac:dyDescent="0.25">
      <c r="A383" s="651" t="s">
        <v>674</v>
      </c>
      <c r="B383" s="665">
        <v>58333</v>
      </c>
      <c r="C383" s="652">
        <v>8999</v>
      </c>
      <c r="D383" s="655">
        <v>1519</v>
      </c>
      <c r="E383" s="646">
        <v>1653</v>
      </c>
      <c r="F383" s="636">
        <f t="shared" si="5"/>
        <v>8.8215931533903891E-2</v>
      </c>
    </row>
    <row r="384" spans="1:6" x14ac:dyDescent="0.25">
      <c r="A384" s="651" t="s">
        <v>675</v>
      </c>
      <c r="B384" s="665">
        <v>76174</v>
      </c>
      <c r="C384" s="652">
        <v>4158</v>
      </c>
      <c r="D384" s="655">
        <v>66962</v>
      </c>
      <c r="E384" s="646">
        <v>69104</v>
      </c>
      <c r="F384" s="636">
        <f t="shared" si="5"/>
        <v>3.1988291867029062E-2</v>
      </c>
    </row>
    <row r="385" spans="1:6" x14ac:dyDescent="0.25">
      <c r="A385" s="651" t="s">
        <v>676</v>
      </c>
      <c r="B385" s="665">
        <v>103750</v>
      </c>
      <c r="C385" s="652">
        <v>11996</v>
      </c>
      <c r="D385" s="655">
        <v>1475</v>
      </c>
      <c r="E385" s="646">
        <v>1588</v>
      </c>
      <c r="F385" s="636">
        <f t="shared" si="5"/>
        <v>7.6610169491525423E-2</v>
      </c>
    </row>
    <row r="386" spans="1:6" hidden="1" x14ac:dyDescent="0.25">
      <c r="A386" s="651" t="s">
        <v>677</v>
      </c>
      <c r="B386" s="665" t="s">
        <v>1284</v>
      </c>
      <c r="C386" s="652" t="s">
        <v>1285</v>
      </c>
      <c r="D386" s="655">
        <v>199</v>
      </c>
      <c r="E386" s="646">
        <v>173</v>
      </c>
      <c r="F386" s="636">
        <f t="shared" si="5"/>
        <v>-0.1306532663316583</v>
      </c>
    </row>
    <row r="387" spans="1:6" x14ac:dyDescent="0.25">
      <c r="A387" s="651" t="s">
        <v>678</v>
      </c>
      <c r="B387" s="665">
        <v>57396</v>
      </c>
      <c r="C387" s="652">
        <v>8436</v>
      </c>
      <c r="D387" s="655">
        <v>9344</v>
      </c>
      <c r="E387" s="646">
        <v>8677</v>
      </c>
      <c r="F387" s="636">
        <f t="shared" si="5"/>
        <v>-7.1382705479452052E-2</v>
      </c>
    </row>
    <row r="388" spans="1:6" x14ac:dyDescent="0.25">
      <c r="A388" s="651" t="s">
        <v>679</v>
      </c>
      <c r="B388" s="665">
        <v>52935</v>
      </c>
      <c r="C388" s="652">
        <v>14195</v>
      </c>
      <c r="D388" s="655">
        <v>795</v>
      </c>
      <c r="E388" s="646">
        <v>757</v>
      </c>
      <c r="F388" s="636">
        <f t="shared" si="5"/>
        <v>-4.7798742138364783E-2</v>
      </c>
    </row>
    <row r="389" spans="1:6" x14ac:dyDescent="0.25">
      <c r="A389" s="651" t="s">
        <v>680</v>
      </c>
      <c r="B389" s="665">
        <v>75000</v>
      </c>
      <c r="C389" s="652">
        <v>15493</v>
      </c>
      <c r="D389" s="655">
        <v>697</v>
      </c>
      <c r="E389" s="646">
        <v>713</v>
      </c>
      <c r="F389" s="636">
        <f t="shared" si="5"/>
        <v>2.2955523672883789E-2</v>
      </c>
    </row>
    <row r="390" spans="1:6" x14ac:dyDescent="0.25">
      <c r="A390" s="651" t="s">
        <v>893</v>
      </c>
      <c r="B390" s="665">
        <v>52917</v>
      </c>
      <c r="C390" s="652">
        <v>11285</v>
      </c>
      <c r="D390" s="655">
        <v>1748</v>
      </c>
      <c r="E390" s="646">
        <v>1766</v>
      </c>
      <c r="F390" s="636">
        <f t="shared" ref="F390:F453" si="6">(E390-D390)/D390</f>
        <v>1.0297482837528604E-2</v>
      </c>
    </row>
    <row r="391" spans="1:6" x14ac:dyDescent="0.25">
      <c r="A391" s="651" t="s">
        <v>681</v>
      </c>
      <c r="B391" s="665">
        <v>68295</v>
      </c>
      <c r="C391" s="652">
        <v>62876</v>
      </c>
      <c r="D391" s="655">
        <v>186</v>
      </c>
      <c r="E391" s="646">
        <v>182</v>
      </c>
      <c r="F391" s="636">
        <f t="shared" si="6"/>
        <v>-2.1505376344086023E-2</v>
      </c>
    </row>
    <row r="392" spans="1:6" x14ac:dyDescent="0.25">
      <c r="A392" s="651" t="s">
        <v>894</v>
      </c>
      <c r="B392" s="665">
        <v>56007</v>
      </c>
      <c r="C392" s="652">
        <v>16473</v>
      </c>
      <c r="D392" s="655">
        <v>1197</v>
      </c>
      <c r="E392" s="646">
        <v>1296</v>
      </c>
      <c r="F392" s="636">
        <f t="shared" si="6"/>
        <v>8.2706766917293228E-2</v>
      </c>
    </row>
    <row r="393" spans="1:6" x14ac:dyDescent="0.25">
      <c r="A393" s="651" t="s">
        <v>682</v>
      </c>
      <c r="B393" s="665">
        <v>85559</v>
      </c>
      <c r="C393" s="652">
        <v>22872</v>
      </c>
      <c r="D393" s="655">
        <v>4454</v>
      </c>
      <c r="E393" s="646">
        <v>4605</v>
      </c>
      <c r="F393" s="636">
        <f t="shared" si="6"/>
        <v>3.3902110462505616E-2</v>
      </c>
    </row>
    <row r="394" spans="1:6" x14ac:dyDescent="0.25">
      <c r="A394" s="651" t="s">
        <v>683</v>
      </c>
      <c r="B394" s="665">
        <v>88583</v>
      </c>
      <c r="C394" s="652">
        <v>14440</v>
      </c>
      <c r="D394" s="655">
        <v>2557</v>
      </c>
      <c r="E394" s="646">
        <v>2673</v>
      </c>
      <c r="F394" s="636">
        <f t="shared" si="6"/>
        <v>4.5365662886194758E-2</v>
      </c>
    </row>
    <row r="395" spans="1:6" x14ac:dyDescent="0.25">
      <c r="A395" s="651" t="s">
        <v>684</v>
      </c>
      <c r="B395" s="665">
        <v>24861</v>
      </c>
      <c r="C395" s="652">
        <v>8747</v>
      </c>
      <c r="D395" s="655">
        <v>146</v>
      </c>
      <c r="E395" s="646">
        <v>127</v>
      </c>
      <c r="F395" s="636">
        <f t="shared" si="6"/>
        <v>-0.13013698630136986</v>
      </c>
    </row>
    <row r="396" spans="1:6" x14ac:dyDescent="0.25">
      <c r="A396" s="651" t="s">
        <v>685</v>
      </c>
      <c r="B396" s="665">
        <v>66667</v>
      </c>
      <c r="C396" s="652">
        <v>12566</v>
      </c>
      <c r="D396" s="655">
        <v>3397</v>
      </c>
      <c r="E396" s="646">
        <v>3572</v>
      </c>
      <c r="F396" s="636">
        <f t="shared" si="6"/>
        <v>5.151604356785399E-2</v>
      </c>
    </row>
    <row r="397" spans="1:6" x14ac:dyDescent="0.25">
      <c r="A397" s="651" t="s">
        <v>686</v>
      </c>
      <c r="B397" s="665">
        <v>66250</v>
      </c>
      <c r="C397" s="652">
        <v>19631</v>
      </c>
      <c r="D397" s="655">
        <v>491</v>
      </c>
      <c r="E397" s="646">
        <v>484</v>
      </c>
      <c r="F397" s="636">
        <f t="shared" si="6"/>
        <v>-1.4256619144602852E-2</v>
      </c>
    </row>
    <row r="398" spans="1:6" x14ac:dyDescent="0.25">
      <c r="A398" s="651" t="s">
        <v>687</v>
      </c>
      <c r="B398" s="665">
        <v>63125</v>
      </c>
      <c r="C398" s="652">
        <v>14418</v>
      </c>
      <c r="D398" s="655">
        <v>554</v>
      </c>
      <c r="E398" s="646">
        <v>553</v>
      </c>
      <c r="F398" s="636">
        <f t="shared" si="6"/>
        <v>-1.8050541516245488E-3</v>
      </c>
    </row>
    <row r="399" spans="1:6" x14ac:dyDescent="0.25">
      <c r="A399" s="651" t="s">
        <v>688</v>
      </c>
      <c r="B399" s="665">
        <v>55276</v>
      </c>
      <c r="C399" s="652">
        <v>5282</v>
      </c>
      <c r="D399" s="655">
        <v>7166</v>
      </c>
      <c r="E399" s="646">
        <v>7031</v>
      </c>
      <c r="F399" s="636">
        <f t="shared" si="6"/>
        <v>-1.8838961763885012E-2</v>
      </c>
    </row>
    <row r="400" spans="1:6" x14ac:dyDescent="0.25">
      <c r="A400" s="651" t="s">
        <v>689</v>
      </c>
      <c r="B400" s="665">
        <v>93169</v>
      </c>
      <c r="C400" s="652">
        <v>15473</v>
      </c>
      <c r="D400" s="655">
        <v>3418</v>
      </c>
      <c r="E400" s="646">
        <v>3678</v>
      </c>
      <c r="F400" s="636">
        <f t="shared" si="6"/>
        <v>7.6067875950848449E-2</v>
      </c>
    </row>
    <row r="401" spans="1:6" x14ac:dyDescent="0.25">
      <c r="A401" s="651" t="s">
        <v>690</v>
      </c>
      <c r="B401" s="665">
        <v>54191</v>
      </c>
      <c r="C401" s="652">
        <v>32136</v>
      </c>
      <c r="D401" s="655">
        <v>1040</v>
      </c>
      <c r="E401" s="646">
        <v>1175</v>
      </c>
      <c r="F401" s="636">
        <f t="shared" si="6"/>
        <v>0.12980769230769232</v>
      </c>
    </row>
    <row r="402" spans="1:6" x14ac:dyDescent="0.25">
      <c r="A402" s="651" t="s">
        <v>691</v>
      </c>
      <c r="B402" s="665">
        <v>75417</v>
      </c>
      <c r="C402" s="652">
        <v>21657</v>
      </c>
      <c r="D402" s="655">
        <v>300</v>
      </c>
      <c r="E402" s="646">
        <v>310</v>
      </c>
      <c r="F402" s="636">
        <f t="shared" si="6"/>
        <v>3.3333333333333333E-2</v>
      </c>
    </row>
    <row r="403" spans="1:6" x14ac:dyDescent="0.25">
      <c r="A403" s="651" t="s">
        <v>692</v>
      </c>
      <c r="B403" s="665">
        <v>52361</v>
      </c>
      <c r="C403" s="652">
        <v>33816</v>
      </c>
      <c r="D403" s="655">
        <v>366</v>
      </c>
      <c r="E403" s="646">
        <v>369</v>
      </c>
      <c r="F403" s="636">
        <f t="shared" si="6"/>
        <v>8.1967213114754103E-3</v>
      </c>
    </row>
    <row r="404" spans="1:6" x14ac:dyDescent="0.25">
      <c r="A404" s="651" t="s">
        <v>895</v>
      </c>
      <c r="B404" s="665">
        <v>39522</v>
      </c>
      <c r="C404" s="652">
        <v>7058</v>
      </c>
      <c r="D404" s="655">
        <v>5803</v>
      </c>
      <c r="E404" s="646">
        <v>5993</v>
      </c>
      <c r="F404" s="636">
        <f t="shared" si="6"/>
        <v>3.274168533517146E-2</v>
      </c>
    </row>
    <row r="405" spans="1:6" x14ac:dyDescent="0.25">
      <c r="A405" s="651" t="s">
        <v>896</v>
      </c>
      <c r="B405" s="665">
        <v>60938</v>
      </c>
      <c r="C405" s="656">
        <v>5010</v>
      </c>
      <c r="D405" s="655">
        <v>4989</v>
      </c>
      <c r="E405" s="646">
        <v>5134</v>
      </c>
      <c r="F405" s="636">
        <f t="shared" si="6"/>
        <v>2.9063940669472842E-2</v>
      </c>
    </row>
    <row r="406" spans="1:6" x14ac:dyDescent="0.25">
      <c r="A406" s="651" t="s">
        <v>693</v>
      </c>
      <c r="B406" s="665">
        <v>84328</v>
      </c>
      <c r="C406" s="652">
        <v>7324</v>
      </c>
      <c r="D406" s="655">
        <v>18989</v>
      </c>
      <c r="E406" s="646">
        <v>20960</v>
      </c>
      <c r="F406" s="636">
        <f t="shared" si="6"/>
        <v>0.10379693506767075</v>
      </c>
    </row>
    <row r="407" spans="1:6" x14ac:dyDescent="0.25">
      <c r="A407" s="651" t="s">
        <v>694</v>
      </c>
      <c r="B407" s="665">
        <v>78125</v>
      </c>
      <c r="C407" s="652">
        <v>68928</v>
      </c>
      <c r="D407" s="655">
        <v>132</v>
      </c>
      <c r="E407" s="646">
        <v>128</v>
      </c>
      <c r="F407" s="636">
        <f t="shared" si="6"/>
        <v>-3.0303030303030304E-2</v>
      </c>
    </row>
    <row r="408" spans="1:6" x14ac:dyDescent="0.25">
      <c r="A408" s="651" t="s">
        <v>695</v>
      </c>
      <c r="B408" s="665">
        <v>70570</v>
      </c>
      <c r="C408" s="652">
        <v>6430</v>
      </c>
      <c r="D408" s="655">
        <v>21077</v>
      </c>
      <c r="E408" s="646">
        <v>22251</v>
      </c>
      <c r="F408" s="636">
        <f t="shared" si="6"/>
        <v>5.5700526640413722E-2</v>
      </c>
    </row>
    <row r="409" spans="1:6" x14ac:dyDescent="0.25">
      <c r="A409" s="651" t="s">
        <v>696</v>
      </c>
      <c r="B409" s="665">
        <v>43365</v>
      </c>
      <c r="C409" s="652">
        <v>15653</v>
      </c>
      <c r="D409" s="655">
        <v>1314</v>
      </c>
      <c r="E409" s="646">
        <v>1358</v>
      </c>
      <c r="F409" s="636">
        <f t="shared" si="6"/>
        <v>3.3485540334855401E-2</v>
      </c>
    </row>
    <row r="410" spans="1:6" x14ac:dyDescent="0.25">
      <c r="A410" s="651" t="s">
        <v>697</v>
      </c>
      <c r="B410" s="665">
        <v>122435</v>
      </c>
      <c r="C410" s="652">
        <v>17443</v>
      </c>
      <c r="D410" s="655">
        <v>19538</v>
      </c>
      <c r="E410" s="646">
        <v>23656</v>
      </c>
      <c r="F410" s="636">
        <f t="shared" si="6"/>
        <v>0.2107687583171256</v>
      </c>
    </row>
    <row r="411" spans="1:6" x14ac:dyDescent="0.25">
      <c r="A411" s="651" t="s">
        <v>698</v>
      </c>
      <c r="B411" s="665">
        <v>85192</v>
      </c>
      <c r="C411" s="652">
        <v>24867</v>
      </c>
      <c r="D411" s="655">
        <v>1399</v>
      </c>
      <c r="E411" s="646">
        <v>1449</v>
      </c>
      <c r="F411" s="636">
        <f t="shared" si="6"/>
        <v>3.5739814152966405E-2</v>
      </c>
    </row>
    <row r="412" spans="1:6" x14ac:dyDescent="0.25">
      <c r="A412" s="651" t="s">
        <v>897</v>
      </c>
      <c r="B412" s="665">
        <v>61283</v>
      </c>
      <c r="C412" s="652">
        <v>18551</v>
      </c>
      <c r="D412" s="655">
        <v>2658</v>
      </c>
      <c r="E412" s="646">
        <v>2658</v>
      </c>
      <c r="F412" s="636">
        <f t="shared" si="6"/>
        <v>0</v>
      </c>
    </row>
    <row r="413" spans="1:6" x14ac:dyDescent="0.25">
      <c r="A413" s="651" t="s">
        <v>699</v>
      </c>
      <c r="B413" s="665">
        <v>72202</v>
      </c>
      <c r="C413" s="652">
        <v>15297</v>
      </c>
      <c r="D413" s="655">
        <v>1776</v>
      </c>
      <c r="E413" s="646">
        <v>1949</v>
      </c>
      <c r="F413" s="636">
        <f t="shared" si="6"/>
        <v>9.7409909909909914E-2</v>
      </c>
    </row>
    <row r="414" spans="1:6" x14ac:dyDescent="0.25">
      <c r="A414" s="651" t="s">
        <v>700</v>
      </c>
      <c r="B414" s="665">
        <v>71450</v>
      </c>
      <c r="C414" s="652">
        <v>12229</v>
      </c>
      <c r="D414" s="655">
        <v>635</v>
      </c>
      <c r="E414" s="646">
        <v>687</v>
      </c>
      <c r="F414" s="636">
        <f t="shared" si="6"/>
        <v>8.1889763779527558E-2</v>
      </c>
    </row>
    <row r="415" spans="1:6" hidden="1" x14ac:dyDescent="0.25">
      <c r="A415" s="659" t="s">
        <v>701</v>
      </c>
      <c r="B415" s="665" t="s">
        <v>1284</v>
      </c>
      <c r="C415" s="652" t="s">
        <v>1285</v>
      </c>
      <c r="D415" s="655">
        <v>36</v>
      </c>
      <c r="E415" s="646">
        <v>39</v>
      </c>
      <c r="F415" s="636">
        <f t="shared" si="6"/>
        <v>8.3333333333333329E-2</v>
      </c>
    </row>
    <row r="416" spans="1:6" hidden="1" x14ac:dyDescent="0.25">
      <c r="A416" s="659" t="s">
        <v>1307</v>
      </c>
      <c r="B416" s="665" t="s">
        <v>1284</v>
      </c>
      <c r="C416" s="652" t="s">
        <v>1285</v>
      </c>
      <c r="D416" s="655">
        <v>37</v>
      </c>
      <c r="E416" s="646">
        <v>31</v>
      </c>
      <c r="F416" s="636">
        <f t="shared" si="6"/>
        <v>-0.16216216216216217</v>
      </c>
    </row>
    <row r="417" spans="1:6" x14ac:dyDescent="0.25">
      <c r="A417" s="651" t="s">
        <v>702</v>
      </c>
      <c r="B417" s="665">
        <v>72946</v>
      </c>
      <c r="C417" s="652">
        <v>16824</v>
      </c>
      <c r="D417" s="655">
        <v>1198</v>
      </c>
      <c r="E417" s="646">
        <v>1205</v>
      </c>
      <c r="F417" s="636">
        <f t="shared" si="6"/>
        <v>5.8430717863105176E-3</v>
      </c>
    </row>
    <row r="418" spans="1:6" x14ac:dyDescent="0.25">
      <c r="A418" s="651" t="s">
        <v>703</v>
      </c>
      <c r="B418" s="665">
        <v>87560</v>
      </c>
      <c r="C418" s="652">
        <v>17780</v>
      </c>
      <c r="D418" s="655">
        <v>2718</v>
      </c>
      <c r="E418" s="646">
        <v>3003</v>
      </c>
      <c r="F418" s="636">
        <f t="shared" si="6"/>
        <v>0.10485651214128035</v>
      </c>
    </row>
    <row r="419" spans="1:6" x14ac:dyDescent="0.25">
      <c r="A419" s="651" t="s">
        <v>704</v>
      </c>
      <c r="B419" s="665">
        <v>50893</v>
      </c>
      <c r="C419" s="652">
        <v>6144</v>
      </c>
      <c r="D419" s="655">
        <v>832</v>
      </c>
      <c r="E419" s="646">
        <v>815</v>
      </c>
      <c r="F419" s="636">
        <f t="shared" si="6"/>
        <v>-2.0432692307692308E-2</v>
      </c>
    </row>
    <row r="420" spans="1:6" x14ac:dyDescent="0.25">
      <c r="A420" s="651" t="s">
        <v>705</v>
      </c>
      <c r="B420" s="665">
        <v>63750</v>
      </c>
      <c r="C420" s="652">
        <v>20242</v>
      </c>
      <c r="D420" s="655">
        <v>237</v>
      </c>
      <c r="E420" s="646">
        <v>274</v>
      </c>
      <c r="F420" s="636">
        <f t="shared" si="6"/>
        <v>0.15611814345991562</v>
      </c>
    </row>
    <row r="421" spans="1:6" x14ac:dyDescent="0.25">
      <c r="A421" s="651" t="s">
        <v>706</v>
      </c>
      <c r="B421" s="665">
        <v>81250</v>
      </c>
      <c r="C421" s="652">
        <v>13779</v>
      </c>
      <c r="D421" s="655">
        <v>4293</v>
      </c>
      <c r="E421" s="646">
        <v>4848</v>
      </c>
      <c r="F421" s="636">
        <f t="shared" si="6"/>
        <v>0.12928022361984626</v>
      </c>
    </row>
    <row r="422" spans="1:6" x14ac:dyDescent="0.25">
      <c r="A422" s="651" t="s">
        <v>898</v>
      </c>
      <c r="B422" s="665">
        <v>51216</v>
      </c>
      <c r="C422" s="652">
        <v>7983</v>
      </c>
      <c r="D422" s="655">
        <v>8592</v>
      </c>
      <c r="E422" s="646">
        <v>8678</v>
      </c>
      <c r="F422" s="636">
        <f t="shared" si="6"/>
        <v>1.0009310986964618E-2</v>
      </c>
    </row>
    <row r="423" spans="1:6" x14ac:dyDescent="0.25">
      <c r="A423" s="651" t="s">
        <v>707</v>
      </c>
      <c r="B423" s="665">
        <v>105694</v>
      </c>
      <c r="C423" s="652">
        <v>36623</v>
      </c>
      <c r="D423" s="655">
        <v>993</v>
      </c>
      <c r="E423" s="646">
        <v>942</v>
      </c>
      <c r="F423" s="636">
        <f t="shared" si="6"/>
        <v>-5.1359516616314202E-2</v>
      </c>
    </row>
    <row r="424" spans="1:6" x14ac:dyDescent="0.25">
      <c r="A424" s="651" t="s">
        <v>708</v>
      </c>
      <c r="B424" s="665">
        <v>29792</v>
      </c>
      <c r="C424" s="652">
        <v>27564</v>
      </c>
      <c r="D424" s="655">
        <v>447</v>
      </c>
      <c r="E424" s="646">
        <v>454</v>
      </c>
      <c r="F424" s="636">
        <f t="shared" si="6"/>
        <v>1.5659955257270694E-2</v>
      </c>
    </row>
    <row r="425" spans="1:6" x14ac:dyDescent="0.25">
      <c r="A425" s="651" t="s">
        <v>709</v>
      </c>
      <c r="B425" s="665">
        <v>56136</v>
      </c>
      <c r="C425" s="652">
        <v>17808</v>
      </c>
      <c r="D425" s="655">
        <v>1039</v>
      </c>
      <c r="E425" s="646">
        <v>996</v>
      </c>
      <c r="F425" s="636">
        <f t="shared" si="6"/>
        <v>-4.138594802694899E-2</v>
      </c>
    </row>
    <row r="426" spans="1:6" x14ac:dyDescent="0.25">
      <c r="A426" s="651" t="s">
        <v>710</v>
      </c>
      <c r="B426" s="665">
        <v>67824</v>
      </c>
      <c r="C426" s="652">
        <v>24576</v>
      </c>
      <c r="D426" s="655">
        <v>566</v>
      </c>
      <c r="E426" s="646">
        <v>627</v>
      </c>
      <c r="F426" s="636">
        <f t="shared" si="6"/>
        <v>0.10777385159010601</v>
      </c>
    </row>
    <row r="427" spans="1:6" x14ac:dyDescent="0.25">
      <c r="A427" s="651" t="s">
        <v>711</v>
      </c>
      <c r="B427" s="665">
        <v>76250</v>
      </c>
      <c r="C427" s="652">
        <v>25989</v>
      </c>
      <c r="D427" s="655">
        <v>276</v>
      </c>
      <c r="E427" s="646">
        <v>278</v>
      </c>
      <c r="F427" s="636">
        <f t="shared" si="6"/>
        <v>7.246376811594203E-3</v>
      </c>
    </row>
    <row r="428" spans="1:6" x14ac:dyDescent="0.25">
      <c r="A428" s="651" t="s">
        <v>712</v>
      </c>
      <c r="B428" s="665">
        <v>54583</v>
      </c>
      <c r="C428" s="652">
        <v>10290</v>
      </c>
      <c r="D428" s="655">
        <v>594</v>
      </c>
      <c r="E428" s="646">
        <v>580</v>
      </c>
      <c r="F428" s="636">
        <f t="shared" si="6"/>
        <v>-2.3569023569023569E-2</v>
      </c>
    </row>
    <row r="429" spans="1:6" x14ac:dyDescent="0.25">
      <c r="A429" s="651" t="s">
        <v>899</v>
      </c>
      <c r="B429" s="665">
        <v>98933</v>
      </c>
      <c r="C429" s="652">
        <v>13429</v>
      </c>
      <c r="D429" s="655">
        <v>7228</v>
      </c>
      <c r="E429" s="646">
        <v>7753</v>
      </c>
      <c r="F429" s="636">
        <f t="shared" si="6"/>
        <v>7.2634200332042057E-2</v>
      </c>
    </row>
    <row r="430" spans="1:6" x14ac:dyDescent="0.25">
      <c r="A430" s="651" t="s">
        <v>713</v>
      </c>
      <c r="B430" s="665">
        <v>68906</v>
      </c>
      <c r="C430" s="652">
        <v>19456</v>
      </c>
      <c r="D430" s="655">
        <v>959</v>
      </c>
      <c r="E430" s="646">
        <v>1145</v>
      </c>
      <c r="F430" s="636">
        <f t="shared" si="6"/>
        <v>0.19395203336809178</v>
      </c>
    </row>
    <row r="431" spans="1:6" x14ac:dyDescent="0.25">
      <c r="A431" s="651" t="s">
        <v>714</v>
      </c>
      <c r="B431" s="665">
        <v>48646</v>
      </c>
      <c r="C431" s="652">
        <v>34420</v>
      </c>
      <c r="D431" s="655">
        <v>65</v>
      </c>
      <c r="E431" s="646">
        <v>60</v>
      </c>
      <c r="F431" s="636">
        <f t="shared" si="6"/>
        <v>-7.6923076923076927E-2</v>
      </c>
    </row>
    <row r="432" spans="1:6" x14ac:dyDescent="0.25">
      <c r="A432" s="651" t="s">
        <v>715</v>
      </c>
      <c r="B432" s="665">
        <v>64688</v>
      </c>
      <c r="C432" s="652">
        <v>10304</v>
      </c>
      <c r="D432" s="655">
        <v>578</v>
      </c>
      <c r="E432" s="646">
        <v>604</v>
      </c>
      <c r="F432" s="636">
        <f t="shared" si="6"/>
        <v>4.4982698961937718E-2</v>
      </c>
    </row>
    <row r="433" spans="1:6" x14ac:dyDescent="0.25">
      <c r="A433" s="651" t="s">
        <v>900</v>
      </c>
      <c r="B433" s="665">
        <v>84563</v>
      </c>
      <c r="C433" s="652">
        <v>8611</v>
      </c>
      <c r="D433" s="655">
        <v>25489</v>
      </c>
      <c r="E433" s="646">
        <v>26840</v>
      </c>
      <c r="F433" s="636">
        <f t="shared" si="6"/>
        <v>5.3003256306642078E-2</v>
      </c>
    </row>
    <row r="434" spans="1:6" x14ac:dyDescent="0.25">
      <c r="A434" s="651" t="s">
        <v>716</v>
      </c>
      <c r="B434" s="665">
        <v>81010</v>
      </c>
      <c r="C434" s="652">
        <v>7262</v>
      </c>
      <c r="D434" s="655">
        <v>1550</v>
      </c>
      <c r="E434" s="646">
        <v>1532</v>
      </c>
      <c r="F434" s="636">
        <f t="shared" si="6"/>
        <v>-1.1612903225806452E-2</v>
      </c>
    </row>
    <row r="435" spans="1:6" x14ac:dyDescent="0.25">
      <c r="A435" s="659" t="s">
        <v>1308</v>
      </c>
      <c r="B435" s="665">
        <v>46250</v>
      </c>
      <c r="C435" s="652">
        <v>13080</v>
      </c>
      <c r="D435" s="655">
        <v>543</v>
      </c>
      <c r="E435" s="646">
        <v>502</v>
      </c>
      <c r="F435" s="636">
        <f t="shared" si="6"/>
        <v>-7.550644567219153E-2</v>
      </c>
    </row>
    <row r="436" spans="1:6" x14ac:dyDescent="0.25">
      <c r="A436" s="651" t="s">
        <v>717</v>
      </c>
      <c r="B436" s="665">
        <v>83438</v>
      </c>
      <c r="C436" s="652">
        <v>11726</v>
      </c>
      <c r="D436" s="655">
        <v>602</v>
      </c>
      <c r="E436" s="646">
        <v>638</v>
      </c>
      <c r="F436" s="636">
        <f t="shared" si="6"/>
        <v>5.9800664451827246E-2</v>
      </c>
    </row>
    <row r="437" spans="1:6" x14ac:dyDescent="0.25">
      <c r="A437" s="651" t="s">
        <v>901</v>
      </c>
      <c r="B437" s="665">
        <v>54333</v>
      </c>
      <c r="C437" s="652">
        <v>19193</v>
      </c>
      <c r="D437" s="655">
        <v>1762</v>
      </c>
      <c r="E437" s="646">
        <v>1824</v>
      </c>
      <c r="F437" s="636">
        <f t="shared" si="6"/>
        <v>3.5187287173666287E-2</v>
      </c>
    </row>
    <row r="438" spans="1:6" x14ac:dyDescent="0.25">
      <c r="A438" s="651" t="s">
        <v>718</v>
      </c>
      <c r="B438" s="665">
        <v>61250</v>
      </c>
      <c r="C438" s="652">
        <v>23879</v>
      </c>
      <c r="D438" s="655">
        <v>375</v>
      </c>
      <c r="E438" s="646">
        <v>346</v>
      </c>
      <c r="F438" s="636">
        <f t="shared" si="6"/>
        <v>-7.7333333333333337E-2</v>
      </c>
    </row>
    <row r="439" spans="1:6" x14ac:dyDescent="0.25">
      <c r="A439" s="651" t="s">
        <v>719</v>
      </c>
      <c r="B439" s="665">
        <v>86667</v>
      </c>
      <c r="C439" s="652">
        <v>26302</v>
      </c>
      <c r="D439" s="655">
        <v>625</v>
      </c>
      <c r="E439" s="646">
        <v>702</v>
      </c>
      <c r="F439" s="636">
        <f t="shared" si="6"/>
        <v>0.1232</v>
      </c>
    </row>
    <row r="440" spans="1:6" x14ac:dyDescent="0.25">
      <c r="A440" s="651" t="s">
        <v>720</v>
      </c>
      <c r="B440" s="665">
        <v>71125</v>
      </c>
      <c r="C440" s="652">
        <v>13934</v>
      </c>
      <c r="D440" s="655">
        <v>744</v>
      </c>
      <c r="E440" s="646">
        <v>743</v>
      </c>
      <c r="F440" s="636">
        <f t="shared" si="6"/>
        <v>-1.3440860215053765E-3</v>
      </c>
    </row>
    <row r="441" spans="1:6" x14ac:dyDescent="0.25">
      <c r="A441" s="651" t="s">
        <v>721</v>
      </c>
      <c r="B441" s="665">
        <v>64688</v>
      </c>
      <c r="C441" s="652">
        <v>41108</v>
      </c>
      <c r="D441" s="655">
        <v>2001</v>
      </c>
      <c r="E441" s="646">
        <v>2123</v>
      </c>
      <c r="F441" s="636">
        <f t="shared" si="6"/>
        <v>6.0969515242378813E-2</v>
      </c>
    </row>
    <row r="442" spans="1:6" x14ac:dyDescent="0.25">
      <c r="A442" s="651" t="s">
        <v>722</v>
      </c>
      <c r="B442" s="665">
        <v>43654</v>
      </c>
      <c r="C442" s="652">
        <v>13490</v>
      </c>
      <c r="D442" s="655">
        <v>468</v>
      </c>
      <c r="E442" s="646">
        <v>435</v>
      </c>
      <c r="F442" s="636">
        <f t="shared" si="6"/>
        <v>-7.0512820512820512E-2</v>
      </c>
    </row>
    <row r="443" spans="1:6" x14ac:dyDescent="0.25">
      <c r="A443" s="651" t="s">
        <v>723</v>
      </c>
      <c r="B443" s="665">
        <v>82083</v>
      </c>
      <c r="C443" s="652">
        <v>17234</v>
      </c>
      <c r="D443" s="655">
        <v>2591</v>
      </c>
      <c r="E443" s="646">
        <v>2610</v>
      </c>
      <c r="F443" s="636">
        <f t="shared" si="6"/>
        <v>7.3330760324199148E-3</v>
      </c>
    </row>
    <row r="444" spans="1:6" x14ac:dyDescent="0.25">
      <c r="A444" s="651" t="s">
        <v>724</v>
      </c>
      <c r="B444" s="665">
        <v>52813</v>
      </c>
      <c r="C444" s="652">
        <v>22406</v>
      </c>
      <c r="D444" s="655">
        <v>267</v>
      </c>
      <c r="E444" s="646">
        <v>266</v>
      </c>
      <c r="F444" s="636">
        <f t="shared" si="6"/>
        <v>-3.7453183520599251E-3</v>
      </c>
    </row>
    <row r="445" spans="1:6" x14ac:dyDescent="0.25">
      <c r="A445" s="651" t="s">
        <v>725</v>
      </c>
      <c r="B445" s="665">
        <v>53750</v>
      </c>
      <c r="C445" s="652">
        <v>16376</v>
      </c>
      <c r="D445" s="655">
        <v>386</v>
      </c>
      <c r="E445" s="646">
        <v>374</v>
      </c>
      <c r="F445" s="636">
        <f t="shared" si="6"/>
        <v>-3.1088082901554404E-2</v>
      </c>
    </row>
    <row r="446" spans="1:6" x14ac:dyDescent="0.25">
      <c r="A446" s="651" t="s">
        <v>902</v>
      </c>
      <c r="B446" s="665">
        <v>96695</v>
      </c>
      <c r="C446" s="652">
        <v>13596</v>
      </c>
      <c r="D446" s="655">
        <v>10000</v>
      </c>
      <c r="E446" s="646">
        <v>10820</v>
      </c>
      <c r="F446" s="636">
        <f t="shared" si="6"/>
        <v>8.2000000000000003E-2</v>
      </c>
    </row>
    <row r="447" spans="1:6" x14ac:dyDescent="0.25">
      <c r="A447" s="651" t="s">
        <v>726</v>
      </c>
      <c r="B447" s="665">
        <v>61518</v>
      </c>
      <c r="C447" s="652">
        <v>3619</v>
      </c>
      <c r="D447" s="655">
        <v>626</v>
      </c>
      <c r="E447" s="646">
        <v>616</v>
      </c>
      <c r="F447" s="636">
        <f t="shared" si="6"/>
        <v>-1.5974440894568689E-2</v>
      </c>
    </row>
    <row r="448" spans="1:6" x14ac:dyDescent="0.25">
      <c r="A448" s="651" t="s">
        <v>727</v>
      </c>
      <c r="B448" s="665">
        <v>76563</v>
      </c>
      <c r="C448" s="652">
        <v>9977</v>
      </c>
      <c r="D448" s="655">
        <v>1206</v>
      </c>
      <c r="E448" s="646">
        <v>1217</v>
      </c>
      <c r="F448" s="636">
        <f t="shared" si="6"/>
        <v>9.1210613598673301E-3</v>
      </c>
    </row>
    <row r="449" spans="1:6" x14ac:dyDescent="0.25">
      <c r="A449" s="651" t="s">
        <v>728</v>
      </c>
      <c r="B449" s="665">
        <v>69837</v>
      </c>
      <c r="C449" s="652">
        <v>10051</v>
      </c>
      <c r="D449" s="655">
        <v>1111</v>
      </c>
      <c r="E449" s="646">
        <v>1152</v>
      </c>
      <c r="F449" s="636">
        <f t="shared" si="6"/>
        <v>3.6903690369036901E-2</v>
      </c>
    </row>
    <row r="450" spans="1:6" x14ac:dyDescent="0.25">
      <c r="A450" s="651" t="s">
        <v>729</v>
      </c>
      <c r="B450" s="665">
        <v>52500</v>
      </c>
      <c r="C450" s="652">
        <v>6767</v>
      </c>
      <c r="D450" s="655">
        <v>252</v>
      </c>
      <c r="E450" s="646">
        <v>252</v>
      </c>
      <c r="F450" s="636">
        <f t="shared" si="6"/>
        <v>0</v>
      </c>
    </row>
    <row r="451" spans="1:6" x14ac:dyDescent="0.25">
      <c r="A451" s="651" t="s">
        <v>730</v>
      </c>
      <c r="B451" s="665">
        <v>71599</v>
      </c>
      <c r="C451" s="652">
        <v>7225</v>
      </c>
      <c r="D451" s="655">
        <v>1562</v>
      </c>
      <c r="E451" s="646">
        <v>1597</v>
      </c>
      <c r="F451" s="636">
        <f t="shared" si="6"/>
        <v>2.2407170294494239E-2</v>
      </c>
    </row>
    <row r="452" spans="1:6" x14ac:dyDescent="0.25">
      <c r="A452" s="651" t="s">
        <v>731</v>
      </c>
      <c r="B452" s="665">
        <v>50893</v>
      </c>
      <c r="C452" s="652">
        <v>22899</v>
      </c>
      <c r="D452" s="655">
        <v>241</v>
      </c>
      <c r="E452" s="646">
        <v>269</v>
      </c>
      <c r="F452" s="636">
        <f t="shared" si="6"/>
        <v>0.11618257261410789</v>
      </c>
    </row>
    <row r="453" spans="1:6" x14ac:dyDescent="0.25">
      <c r="A453" s="651" t="s">
        <v>732</v>
      </c>
      <c r="B453" s="665">
        <v>60147</v>
      </c>
      <c r="C453" s="652">
        <v>8724</v>
      </c>
      <c r="D453" s="655">
        <v>1051</v>
      </c>
      <c r="E453" s="646">
        <v>1055</v>
      </c>
      <c r="F453" s="636">
        <f t="shared" si="6"/>
        <v>3.8058991436726928E-3</v>
      </c>
    </row>
    <row r="454" spans="1:6" x14ac:dyDescent="0.25">
      <c r="A454" s="651" t="s">
        <v>733</v>
      </c>
      <c r="B454" s="665">
        <v>41935</v>
      </c>
      <c r="C454" s="652">
        <v>15195</v>
      </c>
      <c r="D454" s="655">
        <v>382</v>
      </c>
      <c r="E454" s="646">
        <v>440</v>
      </c>
      <c r="F454" s="636">
        <f t="shared" ref="F454:F517" si="7">(E454-D454)/D454</f>
        <v>0.15183246073298429</v>
      </c>
    </row>
    <row r="455" spans="1:6" x14ac:dyDescent="0.25">
      <c r="A455" s="651" t="s">
        <v>734</v>
      </c>
      <c r="B455" s="665">
        <v>43933</v>
      </c>
      <c r="C455" s="652">
        <v>3690</v>
      </c>
      <c r="D455" s="655">
        <v>1183</v>
      </c>
      <c r="E455" s="646">
        <v>1126</v>
      </c>
      <c r="F455" s="636">
        <f t="shared" si="7"/>
        <v>-4.8182586644125107E-2</v>
      </c>
    </row>
    <row r="456" spans="1:6" x14ac:dyDescent="0.25">
      <c r="A456" s="651" t="s">
        <v>735</v>
      </c>
      <c r="B456" s="665">
        <v>59318</v>
      </c>
      <c r="C456" s="652">
        <v>11836</v>
      </c>
      <c r="D456" s="655">
        <v>1229</v>
      </c>
      <c r="E456" s="646">
        <v>1256</v>
      </c>
      <c r="F456" s="636">
        <f t="shared" si="7"/>
        <v>2.1969080553295363E-2</v>
      </c>
    </row>
    <row r="457" spans="1:6" x14ac:dyDescent="0.25">
      <c r="A457" s="651" t="s">
        <v>736</v>
      </c>
      <c r="B457" s="665">
        <v>51250</v>
      </c>
      <c r="C457" s="652">
        <v>14772</v>
      </c>
      <c r="D457" s="655">
        <v>948</v>
      </c>
      <c r="E457" s="646">
        <v>1012</v>
      </c>
      <c r="F457" s="636">
        <f t="shared" si="7"/>
        <v>6.7510548523206745E-2</v>
      </c>
    </row>
    <row r="458" spans="1:6" x14ac:dyDescent="0.25">
      <c r="A458" s="651" t="s">
        <v>737</v>
      </c>
      <c r="B458" s="665">
        <v>77632</v>
      </c>
      <c r="C458" s="652">
        <v>17785</v>
      </c>
      <c r="D458" s="655">
        <v>1519</v>
      </c>
      <c r="E458" s="646">
        <v>1671</v>
      </c>
      <c r="F458" s="636">
        <f t="shared" si="7"/>
        <v>0.10006583278472679</v>
      </c>
    </row>
    <row r="459" spans="1:6" x14ac:dyDescent="0.25">
      <c r="A459" s="651" t="s">
        <v>738</v>
      </c>
      <c r="B459" s="665">
        <v>78125</v>
      </c>
      <c r="C459" s="652">
        <v>20104</v>
      </c>
      <c r="D459" s="655">
        <v>339</v>
      </c>
      <c r="E459" s="646">
        <v>357</v>
      </c>
      <c r="F459" s="636">
        <f t="shared" si="7"/>
        <v>5.3097345132743362E-2</v>
      </c>
    </row>
    <row r="460" spans="1:6" x14ac:dyDescent="0.25">
      <c r="A460" s="651" t="s">
        <v>739</v>
      </c>
      <c r="B460" s="665">
        <v>49390</v>
      </c>
      <c r="C460" s="652">
        <v>6934</v>
      </c>
      <c r="D460" s="655">
        <v>1378</v>
      </c>
      <c r="E460" s="646">
        <v>1423</v>
      </c>
      <c r="F460" s="636">
        <f t="shared" si="7"/>
        <v>3.2656023222060959E-2</v>
      </c>
    </row>
    <row r="461" spans="1:6" x14ac:dyDescent="0.25">
      <c r="A461" s="651" t="s">
        <v>740</v>
      </c>
      <c r="B461" s="665">
        <v>67500</v>
      </c>
      <c r="C461" s="652">
        <v>25674</v>
      </c>
      <c r="D461" s="655">
        <v>400</v>
      </c>
      <c r="E461" s="646">
        <v>420</v>
      </c>
      <c r="F461" s="636">
        <f t="shared" si="7"/>
        <v>0.05</v>
      </c>
    </row>
    <row r="462" spans="1:6" x14ac:dyDescent="0.25">
      <c r="A462" s="651" t="s">
        <v>741</v>
      </c>
      <c r="B462" s="665">
        <v>37500</v>
      </c>
      <c r="C462" s="652">
        <v>18249</v>
      </c>
      <c r="D462" s="655">
        <v>65</v>
      </c>
      <c r="E462" s="646">
        <v>69</v>
      </c>
      <c r="F462" s="636">
        <f t="shared" si="7"/>
        <v>6.1538461538461542E-2</v>
      </c>
    </row>
    <row r="463" spans="1:6" x14ac:dyDescent="0.25">
      <c r="A463" s="651" t="s">
        <v>742</v>
      </c>
      <c r="B463" s="665">
        <v>53333</v>
      </c>
      <c r="C463" s="652">
        <v>2224</v>
      </c>
      <c r="D463" s="655">
        <v>536</v>
      </c>
      <c r="E463" s="646">
        <v>545</v>
      </c>
      <c r="F463" s="636">
        <f t="shared" si="7"/>
        <v>1.6791044776119403E-2</v>
      </c>
    </row>
    <row r="464" spans="1:6" x14ac:dyDescent="0.25">
      <c r="A464" s="651" t="s">
        <v>743</v>
      </c>
      <c r="B464" s="665">
        <v>64773</v>
      </c>
      <c r="C464" s="652">
        <v>64192</v>
      </c>
      <c r="D464" s="655">
        <v>41</v>
      </c>
      <c r="E464" s="646">
        <v>49</v>
      </c>
      <c r="F464" s="636">
        <f t="shared" si="7"/>
        <v>0.1951219512195122</v>
      </c>
    </row>
    <row r="465" spans="1:6" x14ac:dyDescent="0.25">
      <c r="A465" s="651" t="s">
        <v>903</v>
      </c>
      <c r="B465" s="665">
        <v>53775</v>
      </c>
      <c r="C465" s="652">
        <v>12424</v>
      </c>
      <c r="D465" s="655">
        <v>2761</v>
      </c>
      <c r="E465" s="646">
        <v>2756</v>
      </c>
      <c r="F465" s="636">
        <f t="shared" si="7"/>
        <v>-1.8109380659181455E-3</v>
      </c>
    </row>
    <row r="466" spans="1:6" x14ac:dyDescent="0.25">
      <c r="A466" s="651" t="s">
        <v>744</v>
      </c>
      <c r="B466" s="665">
        <v>72500</v>
      </c>
      <c r="C466" s="652">
        <v>24538</v>
      </c>
      <c r="D466" s="655">
        <v>845</v>
      </c>
      <c r="E466" s="646">
        <v>799</v>
      </c>
      <c r="F466" s="636">
        <f t="shared" si="7"/>
        <v>-5.4437869822485205E-2</v>
      </c>
    </row>
    <row r="467" spans="1:6" x14ac:dyDescent="0.25">
      <c r="A467" s="651" t="s">
        <v>745</v>
      </c>
      <c r="B467" s="665">
        <v>49219</v>
      </c>
      <c r="C467" s="652">
        <v>10784</v>
      </c>
      <c r="D467" s="655">
        <v>216</v>
      </c>
      <c r="E467" s="646">
        <v>182</v>
      </c>
      <c r="F467" s="636">
        <f t="shared" si="7"/>
        <v>-0.15740740740740741</v>
      </c>
    </row>
    <row r="468" spans="1:6" x14ac:dyDescent="0.25">
      <c r="A468" s="651" t="s">
        <v>904</v>
      </c>
      <c r="B468" s="665">
        <v>82356</v>
      </c>
      <c r="C468" s="652">
        <v>11680</v>
      </c>
      <c r="D468" s="655">
        <v>8899</v>
      </c>
      <c r="E468" s="646">
        <v>9751</v>
      </c>
      <c r="F468" s="636">
        <f t="shared" si="7"/>
        <v>9.5741094505000568E-2</v>
      </c>
    </row>
    <row r="469" spans="1:6" x14ac:dyDescent="0.25">
      <c r="A469" s="651" t="s">
        <v>746</v>
      </c>
      <c r="B469" s="665">
        <v>85476</v>
      </c>
      <c r="C469" s="652">
        <v>12139</v>
      </c>
      <c r="D469" s="655">
        <v>1573</v>
      </c>
      <c r="E469" s="646">
        <v>1546</v>
      </c>
      <c r="F469" s="636">
        <f t="shared" si="7"/>
        <v>-1.7164653528289893E-2</v>
      </c>
    </row>
    <row r="470" spans="1:6" x14ac:dyDescent="0.25">
      <c r="A470" s="651" t="s">
        <v>747</v>
      </c>
      <c r="B470" s="665">
        <v>59167</v>
      </c>
      <c r="C470" s="652">
        <v>13551</v>
      </c>
      <c r="D470" s="655">
        <v>1524</v>
      </c>
      <c r="E470" s="646">
        <v>1630</v>
      </c>
      <c r="F470" s="636">
        <f t="shared" si="7"/>
        <v>6.9553805774278221E-2</v>
      </c>
    </row>
    <row r="471" spans="1:6" x14ac:dyDescent="0.25">
      <c r="A471" s="651" t="s">
        <v>748</v>
      </c>
      <c r="B471" s="665">
        <v>47321</v>
      </c>
      <c r="C471" s="652">
        <v>12204</v>
      </c>
      <c r="D471" s="655">
        <v>1026</v>
      </c>
      <c r="E471" s="646">
        <v>1090</v>
      </c>
      <c r="F471" s="636">
        <f t="shared" si="7"/>
        <v>6.2378167641325533E-2</v>
      </c>
    </row>
    <row r="472" spans="1:6" x14ac:dyDescent="0.25">
      <c r="A472" s="651" t="s">
        <v>905</v>
      </c>
      <c r="B472" s="665">
        <v>87981</v>
      </c>
      <c r="C472" s="656">
        <v>18500</v>
      </c>
      <c r="D472" s="655">
        <v>5709</v>
      </c>
      <c r="E472" s="646">
        <v>5913</v>
      </c>
      <c r="F472" s="636">
        <f t="shared" si="7"/>
        <v>3.5733053074093538E-2</v>
      </c>
    </row>
    <row r="473" spans="1:6" hidden="1" x14ac:dyDescent="0.25">
      <c r="A473" s="659" t="s">
        <v>1309</v>
      </c>
      <c r="B473" s="665" t="s">
        <v>1284</v>
      </c>
      <c r="C473" s="652" t="s">
        <v>1285</v>
      </c>
      <c r="D473" s="655">
        <v>0</v>
      </c>
      <c r="E473" s="646">
        <v>0</v>
      </c>
      <c r="F473" s="636" t="e">
        <f t="shared" si="7"/>
        <v>#DIV/0!</v>
      </c>
    </row>
    <row r="474" spans="1:6" x14ac:dyDescent="0.25">
      <c r="A474" s="651" t="s">
        <v>749</v>
      </c>
      <c r="B474" s="665">
        <v>80865</v>
      </c>
      <c r="C474" s="652">
        <v>16145</v>
      </c>
      <c r="D474" s="655">
        <v>2274</v>
      </c>
      <c r="E474" s="646">
        <v>2439</v>
      </c>
      <c r="F474" s="636">
        <f t="shared" si="7"/>
        <v>7.255936675461741E-2</v>
      </c>
    </row>
    <row r="475" spans="1:6" x14ac:dyDescent="0.25">
      <c r="A475" s="651" t="s">
        <v>906</v>
      </c>
      <c r="B475" s="665">
        <v>50000</v>
      </c>
      <c r="C475" s="652">
        <v>11960</v>
      </c>
      <c r="D475" s="655">
        <v>2152</v>
      </c>
      <c r="E475" s="646">
        <v>2343</v>
      </c>
      <c r="F475" s="636">
        <f t="shared" si="7"/>
        <v>8.8754646840148693E-2</v>
      </c>
    </row>
    <row r="476" spans="1:6" hidden="1" x14ac:dyDescent="0.25">
      <c r="A476" s="651" t="s">
        <v>750</v>
      </c>
      <c r="B476" s="665" t="s">
        <v>1284</v>
      </c>
      <c r="C476" s="652" t="s">
        <v>1285</v>
      </c>
      <c r="D476" s="655">
        <v>40</v>
      </c>
      <c r="E476" s="646">
        <v>38</v>
      </c>
      <c r="F476" s="636">
        <f t="shared" si="7"/>
        <v>-0.05</v>
      </c>
    </row>
    <row r="477" spans="1:6" hidden="1" x14ac:dyDescent="0.25">
      <c r="A477" s="651" t="s">
        <v>751</v>
      </c>
      <c r="B477" s="665" t="s">
        <v>1284</v>
      </c>
      <c r="C477" s="652" t="s">
        <v>1285</v>
      </c>
      <c r="D477" s="655">
        <v>98</v>
      </c>
      <c r="E477" s="646">
        <v>69</v>
      </c>
      <c r="F477" s="636">
        <f t="shared" si="7"/>
        <v>-0.29591836734693877</v>
      </c>
    </row>
    <row r="478" spans="1:6" x14ac:dyDescent="0.25">
      <c r="A478" s="651" t="s">
        <v>907</v>
      </c>
      <c r="B478" s="665">
        <v>36724</v>
      </c>
      <c r="C478" s="652">
        <v>6567</v>
      </c>
      <c r="D478" s="655">
        <v>2127</v>
      </c>
      <c r="E478" s="646">
        <v>2060</v>
      </c>
      <c r="F478" s="636">
        <f t="shared" si="7"/>
        <v>-3.1499764927127409E-2</v>
      </c>
    </row>
    <row r="479" spans="1:6" x14ac:dyDescent="0.25">
      <c r="A479" s="651" t="s">
        <v>908</v>
      </c>
      <c r="B479" s="665">
        <v>53500</v>
      </c>
      <c r="C479" s="652">
        <v>47745</v>
      </c>
      <c r="D479" s="655">
        <v>128</v>
      </c>
      <c r="E479" s="646">
        <v>105</v>
      </c>
      <c r="F479" s="636">
        <f t="shared" si="7"/>
        <v>-0.1796875</v>
      </c>
    </row>
    <row r="480" spans="1:6" x14ac:dyDescent="0.25">
      <c r="A480" s="651" t="s">
        <v>752</v>
      </c>
      <c r="B480" s="665">
        <v>74828</v>
      </c>
      <c r="C480" s="652">
        <v>10566</v>
      </c>
      <c r="D480" s="655">
        <v>4374</v>
      </c>
      <c r="E480" s="646">
        <v>4603</v>
      </c>
      <c r="F480" s="636">
        <f t="shared" si="7"/>
        <v>5.235482395976223E-2</v>
      </c>
    </row>
    <row r="481" spans="1:6" x14ac:dyDescent="0.25">
      <c r="A481" s="651" t="s">
        <v>909</v>
      </c>
      <c r="B481" s="665">
        <v>78182</v>
      </c>
      <c r="C481" s="652">
        <v>10549</v>
      </c>
      <c r="D481" s="655">
        <v>1882</v>
      </c>
      <c r="E481" s="646">
        <v>1822</v>
      </c>
      <c r="F481" s="636">
        <f t="shared" si="7"/>
        <v>-3.1880977683315624E-2</v>
      </c>
    </row>
    <row r="482" spans="1:6" x14ac:dyDescent="0.25">
      <c r="A482" s="651" t="s">
        <v>753</v>
      </c>
      <c r="B482" s="665">
        <v>50625</v>
      </c>
      <c r="C482" s="652">
        <v>18927</v>
      </c>
      <c r="D482" s="655">
        <v>530</v>
      </c>
      <c r="E482" s="646">
        <v>515</v>
      </c>
      <c r="F482" s="636">
        <f t="shared" si="7"/>
        <v>-2.8301886792452831E-2</v>
      </c>
    </row>
    <row r="483" spans="1:6" x14ac:dyDescent="0.25">
      <c r="A483" s="651" t="s">
        <v>754</v>
      </c>
      <c r="B483" s="665">
        <v>74453</v>
      </c>
      <c r="C483" s="652">
        <v>16690</v>
      </c>
      <c r="D483" s="655">
        <v>580</v>
      </c>
      <c r="E483" s="646">
        <v>602</v>
      </c>
      <c r="F483" s="636">
        <f t="shared" si="7"/>
        <v>3.793103448275862E-2</v>
      </c>
    </row>
    <row r="484" spans="1:6" x14ac:dyDescent="0.25">
      <c r="A484" s="651" t="s">
        <v>755</v>
      </c>
      <c r="B484" s="665">
        <v>72262</v>
      </c>
      <c r="C484" s="652">
        <v>11567</v>
      </c>
      <c r="D484" s="655">
        <v>1200</v>
      </c>
      <c r="E484" s="646">
        <v>1271</v>
      </c>
      <c r="F484" s="636">
        <f t="shared" si="7"/>
        <v>5.9166666666666666E-2</v>
      </c>
    </row>
    <row r="485" spans="1:6" x14ac:dyDescent="0.25">
      <c r="A485" s="651" t="s">
        <v>756</v>
      </c>
      <c r="B485" s="665">
        <v>39500</v>
      </c>
      <c r="C485" s="652">
        <v>9815</v>
      </c>
      <c r="D485" s="655">
        <v>267</v>
      </c>
      <c r="E485" s="646">
        <v>235</v>
      </c>
      <c r="F485" s="636">
        <f t="shared" si="7"/>
        <v>-0.1198501872659176</v>
      </c>
    </row>
    <row r="486" spans="1:6" hidden="1" x14ac:dyDescent="0.25">
      <c r="A486" s="651" t="s">
        <v>757</v>
      </c>
      <c r="B486" s="665" t="s">
        <v>1284</v>
      </c>
      <c r="C486" s="652" t="s">
        <v>1285</v>
      </c>
      <c r="D486" s="655">
        <v>90</v>
      </c>
      <c r="E486" s="646">
        <v>66</v>
      </c>
      <c r="F486" s="636">
        <f t="shared" si="7"/>
        <v>-0.26666666666666666</v>
      </c>
    </row>
    <row r="487" spans="1:6" x14ac:dyDescent="0.25">
      <c r="A487" s="651" t="s">
        <v>758</v>
      </c>
      <c r="B487" s="665">
        <v>71250</v>
      </c>
      <c r="C487" s="652">
        <v>22344</v>
      </c>
      <c r="D487" s="655">
        <v>791</v>
      </c>
      <c r="E487" s="646">
        <v>841</v>
      </c>
      <c r="F487" s="636">
        <f t="shared" si="7"/>
        <v>6.3211125158027806E-2</v>
      </c>
    </row>
    <row r="488" spans="1:6" x14ac:dyDescent="0.25">
      <c r="A488" s="651" t="s">
        <v>759</v>
      </c>
      <c r="B488" s="665">
        <v>66072</v>
      </c>
      <c r="C488" s="652">
        <v>7338</v>
      </c>
      <c r="D488" s="655">
        <v>5042</v>
      </c>
      <c r="E488" s="646">
        <v>5320</v>
      </c>
      <c r="F488" s="636">
        <f t="shared" si="7"/>
        <v>5.5136850456168188E-2</v>
      </c>
    </row>
    <row r="489" spans="1:6" x14ac:dyDescent="0.25">
      <c r="A489" s="651" t="s">
        <v>760</v>
      </c>
      <c r="B489" s="665">
        <v>74180</v>
      </c>
      <c r="C489" s="656">
        <v>13598</v>
      </c>
      <c r="D489" s="655">
        <v>1599</v>
      </c>
      <c r="E489" s="646">
        <v>1626</v>
      </c>
      <c r="F489" s="636">
        <f t="shared" si="7"/>
        <v>1.6885553470919325E-2</v>
      </c>
    </row>
    <row r="490" spans="1:6" x14ac:dyDescent="0.25">
      <c r="A490" s="651" t="s">
        <v>761</v>
      </c>
      <c r="B490" s="665">
        <v>52708</v>
      </c>
      <c r="C490" s="652">
        <v>12664</v>
      </c>
      <c r="D490" s="655">
        <v>532</v>
      </c>
      <c r="E490" s="646">
        <v>516</v>
      </c>
      <c r="F490" s="636">
        <f t="shared" si="7"/>
        <v>-3.007518796992481E-2</v>
      </c>
    </row>
    <row r="491" spans="1:6" x14ac:dyDescent="0.25">
      <c r="A491" s="651" t="s">
        <v>762</v>
      </c>
      <c r="B491" s="665">
        <v>70500</v>
      </c>
      <c r="C491" s="652">
        <v>19058</v>
      </c>
      <c r="D491" s="655">
        <v>346</v>
      </c>
      <c r="E491" s="646">
        <v>329</v>
      </c>
      <c r="F491" s="636">
        <f t="shared" si="7"/>
        <v>-4.9132947976878616E-2</v>
      </c>
    </row>
    <row r="492" spans="1:6" x14ac:dyDescent="0.25">
      <c r="A492" s="651" t="s">
        <v>763</v>
      </c>
      <c r="B492" s="665">
        <v>77321</v>
      </c>
      <c r="C492" s="652">
        <v>15018</v>
      </c>
      <c r="D492" s="655">
        <v>4727</v>
      </c>
      <c r="E492" s="646">
        <v>4942</v>
      </c>
      <c r="F492" s="636">
        <f t="shared" si="7"/>
        <v>4.5483393272688806E-2</v>
      </c>
    </row>
    <row r="493" spans="1:6" x14ac:dyDescent="0.25">
      <c r="A493" s="651" t="s">
        <v>910</v>
      </c>
      <c r="B493" s="665">
        <v>50000</v>
      </c>
      <c r="C493" s="652">
        <v>7906</v>
      </c>
      <c r="D493" s="655">
        <v>1635</v>
      </c>
      <c r="E493" s="646">
        <v>1521</v>
      </c>
      <c r="F493" s="636">
        <f t="shared" si="7"/>
        <v>-6.9724770642201839E-2</v>
      </c>
    </row>
    <row r="494" spans="1:6" x14ac:dyDescent="0.25">
      <c r="A494" s="651" t="s">
        <v>764</v>
      </c>
      <c r="B494" s="665">
        <v>63036</v>
      </c>
      <c r="C494" s="652">
        <v>10580</v>
      </c>
      <c r="D494" s="655">
        <v>1547</v>
      </c>
      <c r="E494" s="646">
        <v>1586</v>
      </c>
      <c r="F494" s="636">
        <f t="shared" si="7"/>
        <v>2.5210084033613446E-2</v>
      </c>
    </row>
    <row r="495" spans="1:6" x14ac:dyDescent="0.25">
      <c r="A495" s="651" t="s">
        <v>765</v>
      </c>
      <c r="B495" s="665">
        <v>83868</v>
      </c>
      <c r="C495" s="652">
        <v>12726</v>
      </c>
      <c r="D495" s="655">
        <v>7697</v>
      </c>
      <c r="E495" s="646">
        <v>8104</v>
      </c>
      <c r="F495" s="636">
        <f t="shared" si="7"/>
        <v>5.2877744575808759E-2</v>
      </c>
    </row>
    <row r="496" spans="1:6" x14ac:dyDescent="0.25">
      <c r="A496" s="651" t="s">
        <v>766</v>
      </c>
      <c r="B496" s="665">
        <v>67885</v>
      </c>
      <c r="C496" s="652">
        <v>17455</v>
      </c>
      <c r="D496" s="655">
        <v>1531</v>
      </c>
      <c r="E496" s="646">
        <v>1633</v>
      </c>
      <c r="F496" s="636">
        <f t="shared" si="7"/>
        <v>6.6623122142390592E-2</v>
      </c>
    </row>
    <row r="497" spans="1:6" x14ac:dyDescent="0.25">
      <c r="A497" s="651" t="s">
        <v>767</v>
      </c>
      <c r="B497" s="665">
        <v>47489</v>
      </c>
      <c r="C497" s="652">
        <v>5764</v>
      </c>
      <c r="D497" s="655">
        <v>15726</v>
      </c>
      <c r="E497" s="646">
        <v>16823</v>
      </c>
      <c r="F497" s="636">
        <f t="shared" si="7"/>
        <v>6.9757090169146635E-2</v>
      </c>
    </row>
    <row r="498" spans="1:6" x14ac:dyDescent="0.25">
      <c r="A498" s="651" t="s">
        <v>768</v>
      </c>
      <c r="B498" s="665">
        <v>75987</v>
      </c>
      <c r="C498" s="652">
        <v>12570</v>
      </c>
      <c r="D498" s="655">
        <v>1156</v>
      </c>
      <c r="E498" s="646">
        <v>1145</v>
      </c>
      <c r="F498" s="636">
        <f t="shared" si="7"/>
        <v>-9.5155709342560554E-3</v>
      </c>
    </row>
    <row r="499" spans="1:6" hidden="1" x14ac:dyDescent="0.25">
      <c r="A499" s="651" t="s">
        <v>769</v>
      </c>
      <c r="B499" s="665" t="s">
        <v>1284</v>
      </c>
      <c r="C499" s="652" t="s">
        <v>1285</v>
      </c>
      <c r="D499" s="655">
        <v>77</v>
      </c>
      <c r="E499" s="646">
        <v>66</v>
      </c>
      <c r="F499" s="636">
        <f t="shared" si="7"/>
        <v>-0.14285714285714285</v>
      </c>
    </row>
    <row r="500" spans="1:6" x14ac:dyDescent="0.25">
      <c r="A500" s="651" t="s">
        <v>770</v>
      </c>
      <c r="B500" s="665">
        <v>64118</v>
      </c>
      <c r="C500" s="652">
        <v>3337</v>
      </c>
      <c r="D500" s="655">
        <v>404</v>
      </c>
      <c r="E500" s="646">
        <v>422</v>
      </c>
      <c r="F500" s="636">
        <f t="shared" si="7"/>
        <v>4.4554455445544552E-2</v>
      </c>
    </row>
    <row r="501" spans="1:6" x14ac:dyDescent="0.25">
      <c r="A501" s="651" t="s">
        <v>771</v>
      </c>
      <c r="B501" s="665">
        <v>43000</v>
      </c>
      <c r="C501" s="652">
        <v>5868</v>
      </c>
      <c r="D501" s="655">
        <v>246</v>
      </c>
      <c r="E501" s="646">
        <v>232</v>
      </c>
      <c r="F501" s="636">
        <f t="shared" si="7"/>
        <v>-5.6910569105691054E-2</v>
      </c>
    </row>
    <row r="502" spans="1:6" x14ac:dyDescent="0.25">
      <c r="A502" s="651" t="s">
        <v>772</v>
      </c>
      <c r="B502" s="665">
        <v>83900</v>
      </c>
      <c r="C502" s="652">
        <v>14564</v>
      </c>
      <c r="D502" s="655">
        <v>10033</v>
      </c>
      <c r="E502" s="646">
        <v>11855</v>
      </c>
      <c r="F502" s="636">
        <f t="shared" si="7"/>
        <v>0.18160071763181501</v>
      </c>
    </row>
    <row r="503" spans="1:6" x14ac:dyDescent="0.25">
      <c r="A503" s="651" t="s">
        <v>773</v>
      </c>
      <c r="B503" s="665">
        <v>47917</v>
      </c>
      <c r="C503" s="652">
        <v>6204</v>
      </c>
      <c r="D503" s="655">
        <v>105</v>
      </c>
      <c r="E503" s="646">
        <v>123</v>
      </c>
      <c r="F503" s="636">
        <f t="shared" si="7"/>
        <v>0.17142857142857143</v>
      </c>
    </row>
    <row r="504" spans="1:6" x14ac:dyDescent="0.25">
      <c r="A504" s="651" t="s">
        <v>774</v>
      </c>
      <c r="B504" s="665">
        <v>113750</v>
      </c>
      <c r="C504" s="652">
        <v>18922</v>
      </c>
      <c r="D504" s="655">
        <v>1878</v>
      </c>
      <c r="E504" s="646">
        <v>1951</v>
      </c>
      <c r="F504" s="636">
        <f t="shared" si="7"/>
        <v>3.8871139510117149E-2</v>
      </c>
    </row>
    <row r="505" spans="1:6" hidden="1" x14ac:dyDescent="0.25">
      <c r="A505" s="659" t="s">
        <v>1310</v>
      </c>
      <c r="B505" s="665" t="s">
        <v>1284</v>
      </c>
      <c r="C505" s="652" t="s">
        <v>1285</v>
      </c>
      <c r="D505" s="655">
        <v>0</v>
      </c>
      <c r="E505" s="646">
        <v>0</v>
      </c>
      <c r="F505" s="636" t="e">
        <f t="shared" si="7"/>
        <v>#DIV/0!</v>
      </c>
    </row>
    <row r="506" spans="1:6" hidden="1" x14ac:dyDescent="0.25">
      <c r="A506" s="659" t="s">
        <v>1311</v>
      </c>
      <c r="B506" s="665" t="s">
        <v>1284</v>
      </c>
      <c r="C506" s="652" t="s">
        <v>1285</v>
      </c>
      <c r="D506" s="655">
        <v>59</v>
      </c>
      <c r="E506" s="646">
        <v>62</v>
      </c>
      <c r="F506" s="636">
        <f t="shared" si="7"/>
        <v>5.0847457627118647E-2</v>
      </c>
    </row>
    <row r="507" spans="1:6" x14ac:dyDescent="0.25">
      <c r="A507" s="651" t="s">
        <v>775</v>
      </c>
      <c r="B507" s="665">
        <v>92292</v>
      </c>
      <c r="C507" s="652">
        <v>38162</v>
      </c>
      <c r="D507" s="655">
        <v>3505</v>
      </c>
      <c r="E507" s="646">
        <v>3690</v>
      </c>
      <c r="F507" s="636">
        <f t="shared" si="7"/>
        <v>5.2781740370898715E-2</v>
      </c>
    </row>
    <row r="508" spans="1:6" x14ac:dyDescent="0.25">
      <c r="A508" s="651" t="s">
        <v>776</v>
      </c>
      <c r="B508" s="665">
        <v>55670</v>
      </c>
      <c r="C508" s="652">
        <v>7169</v>
      </c>
      <c r="D508" s="655">
        <v>1804</v>
      </c>
      <c r="E508" s="646">
        <v>1790</v>
      </c>
      <c r="F508" s="636">
        <f t="shared" si="7"/>
        <v>-7.7605321507760536E-3</v>
      </c>
    </row>
    <row r="509" spans="1:6" x14ac:dyDescent="0.25">
      <c r="A509" s="651" t="s">
        <v>777</v>
      </c>
      <c r="B509" s="665">
        <v>85868</v>
      </c>
      <c r="C509" s="652">
        <v>11892</v>
      </c>
      <c r="D509" s="655">
        <v>18196</v>
      </c>
      <c r="E509" s="646">
        <v>20564</v>
      </c>
      <c r="F509" s="636">
        <f t="shared" si="7"/>
        <v>0.13013849197625851</v>
      </c>
    </row>
    <row r="510" spans="1:6" x14ac:dyDescent="0.25">
      <c r="A510" s="651" t="s">
        <v>778</v>
      </c>
      <c r="B510" s="665">
        <v>54750</v>
      </c>
      <c r="C510" s="652">
        <v>16938</v>
      </c>
      <c r="D510" s="655">
        <v>521</v>
      </c>
      <c r="E510" s="646">
        <v>464</v>
      </c>
      <c r="F510" s="636">
        <f t="shared" si="7"/>
        <v>-0.10940499040307101</v>
      </c>
    </row>
    <row r="511" spans="1:6" x14ac:dyDescent="0.25">
      <c r="A511" s="651" t="s">
        <v>779</v>
      </c>
      <c r="B511" s="665">
        <v>60500</v>
      </c>
      <c r="C511" s="652">
        <v>34305</v>
      </c>
      <c r="D511" s="655">
        <v>69</v>
      </c>
      <c r="E511" s="646">
        <v>79</v>
      </c>
      <c r="F511" s="636">
        <f t="shared" si="7"/>
        <v>0.14492753623188406</v>
      </c>
    </row>
    <row r="512" spans="1:6" x14ac:dyDescent="0.25">
      <c r="A512" s="651" t="s">
        <v>780</v>
      </c>
      <c r="B512" s="665">
        <v>63750</v>
      </c>
      <c r="C512" s="652">
        <v>24352</v>
      </c>
      <c r="D512" s="655">
        <v>233</v>
      </c>
      <c r="E512" s="646">
        <v>244</v>
      </c>
      <c r="F512" s="636">
        <f t="shared" si="7"/>
        <v>4.7210300429184553E-2</v>
      </c>
    </row>
    <row r="513" spans="1:6" x14ac:dyDescent="0.25">
      <c r="A513" s="651" t="s">
        <v>781</v>
      </c>
      <c r="B513" s="665">
        <v>82396</v>
      </c>
      <c r="C513" s="652">
        <v>10292</v>
      </c>
      <c r="D513" s="655">
        <v>705</v>
      </c>
      <c r="E513" s="646">
        <v>749</v>
      </c>
      <c r="F513" s="636">
        <f t="shared" si="7"/>
        <v>6.2411347517730496E-2</v>
      </c>
    </row>
    <row r="514" spans="1:6" x14ac:dyDescent="0.25">
      <c r="A514" s="651" t="s">
        <v>782</v>
      </c>
      <c r="B514" s="665">
        <v>73750</v>
      </c>
      <c r="C514" s="652">
        <v>14373</v>
      </c>
      <c r="D514" s="655">
        <v>2303</v>
      </c>
      <c r="E514" s="646">
        <v>2477</v>
      </c>
      <c r="F514" s="636">
        <f t="shared" si="7"/>
        <v>7.5553625705601396E-2</v>
      </c>
    </row>
    <row r="515" spans="1:6" x14ac:dyDescent="0.25">
      <c r="A515" s="651" t="s">
        <v>783</v>
      </c>
      <c r="B515" s="665">
        <v>52586</v>
      </c>
      <c r="C515" s="652">
        <v>2414</v>
      </c>
      <c r="D515" s="655">
        <v>485</v>
      </c>
      <c r="E515" s="646">
        <v>487</v>
      </c>
      <c r="F515" s="636">
        <f>(E515-D515)/D515</f>
        <v>4.1237113402061857E-3</v>
      </c>
    </row>
    <row r="516" spans="1:6" hidden="1" x14ac:dyDescent="0.25">
      <c r="A516" s="659" t="s">
        <v>1312</v>
      </c>
      <c r="B516" s="665" t="s">
        <v>1284</v>
      </c>
      <c r="C516" s="652" t="s">
        <v>1285</v>
      </c>
      <c r="D516" s="655">
        <v>6</v>
      </c>
      <c r="E516" s="646">
        <v>7</v>
      </c>
      <c r="F516" s="636">
        <f>(E516-D516)/D516</f>
        <v>0.16666666666666666</v>
      </c>
    </row>
    <row r="517" spans="1:6" x14ac:dyDescent="0.25">
      <c r="A517" s="651" t="s">
        <v>784</v>
      </c>
      <c r="B517" s="665">
        <v>49688</v>
      </c>
      <c r="C517" s="652">
        <v>10331</v>
      </c>
      <c r="D517" s="655">
        <v>211</v>
      </c>
      <c r="E517" s="646">
        <v>208</v>
      </c>
      <c r="F517" s="636">
        <f t="shared" si="7"/>
        <v>-1.4218009478672985E-2</v>
      </c>
    </row>
    <row r="518" spans="1:6" x14ac:dyDescent="0.25">
      <c r="A518" s="651" t="s">
        <v>785</v>
      </c>
      <c r="B518" s="665">
        <v>60833</v>
      </c>
      <c r="C518" s="652">
        <v>43538</v>
      </c>
      <c r="D518" s="655">
        <v>144</v>
      </c>
      <c r="E518" s="646">
        <v>139</v>
      </c>
      <c r="F518" s="636">
        <f t="shared" ref="F518:F535" si="8">(E518-D518)/D518</f>
        <v>-3.4722222222222224E-2</v>
      </c>
    </row>
    <row r="519" spans="1:6" x14ac:dyDescent="0.25">
      <c r="A519" s="651" t="s">
        <v>911</v>
      </c>
      <c r="B519" s="665">
        <v>61354</v>
      </c>
      <c r="C519" s="652">
        <v>15565</v>
      </c>
      <c r="D519" s="655">
        <v>4043</v>
      </c>
      <c r="E519" s="646">
        <v>3872</v>
      </c>
      <c r="F519" s="636">
        <f t="shared" si="8"/>
        <v>-4.2295325253524613E-2</v>
      </c>
    </row>
    <row r="520" spans="1:6" x14ac:dyDescent="0.25">
      <c r="A520" s="651" t="s">
        <v>786</v>
      </c>
      <c r="B520" s="665">
        <v>98373</v>
      </c>
      <c r="C520" s="652">
        <v>12943</v>
      </c>
      <c r="D520" s="655">
        <v>17306</v>
      </c>
      <c r="E520" s="646">
        <v>19658</v>
      </c>
      <c r="F520" s="636">
        <f t="shared" si="8"/>
        <v>0.13590662198081591</v>
      </c>
    </row>
    <row r="521" spans="1:6" x14ac:dyDescent="0.25">
      <c r="A521" s="651" t="s">
        <v>787</v>
      </c>
      <c r="B521" s="665">
        <v>65852</v>
      </c>
      <c r="C521" s="652">
        <v>12412</v>
      </c>
      <c r="D521" s="655">
        <v>2579</v>
      </c>
      <c r="E521" s="646">
        <v>2710</v>
      </c>
      <c r="F521" s="636">
        <f t="shared" si="8"/>
        <v>5.0794881737107403E-2</v>
      </c>
    </row>
    <row r="522" spans="1:6" x14ac:dyDescent="0.25">
      <c r="A522" s="651" t="s">
        <v>788</v>
      </c>
      <c r="B522" s="665">
        <v>37125</v>
      </c>
      <c r="C522" s="652">
        <v>13428</v>
      </c>
      <c r="D522" s="655">
        <v>400</v>
      </c>
      <c r="E522" s="646">
        <v>405</v>
      </c>
      <c r="F522" s="636">
        <f t="shared" si="8"/>
        <v>1.2500000000000001E-2</v>
      </c>
    </row>
    <row r="523" spans="1:6" x14ac:dyDescent="0.25">
      <c r="A523" s="651" t="s">
        <v>912</v>
      </c>
      <c r="B523" s="665">
        <v>64332</v>
      </c>
      <c r="C523" s="652">
        <v>7218</v>
      </c>
      <c r="D523" s="655">
        <v>7750</v>
      </c>
      <c r="E523" s="646">
        <v>8026</v>
      </c>
      <c r="F523" s="636">
        <f t="shared" si="8"/>
        <v>3.5612903225806451E-2</v>
      </c>
    </row>
    <row r="524" spans="1:6" x14ac:dyDescent="0.25">
      <c r="A524" s="651" t="s">
        <v>913</v>
      </c>
      <c r="B524" s="665">
        <v>63015</v>
      </c>
      <c r="C524" s="652">
        <v>16669</v>
      </c>
      <c r="D524" s="655">
        <v>496</v>
      </c>
      <c r="E524" s="646">
        <v>474</v>
      </c>
      <c r="F524" s="636">
        <f t="shared" si="8"/>
        <v>-4.4354838709677422E-2</v>
      </c>
    </row>
    <row r="525" spans="1:6" x14ac:dyDescent="0.25">
      <c r="A525" s="651" t="s">
        <v>914</v>
      </c>
      <c r="B525" s="665">
        <v>103938</v>
      </c>
      <c r="C525" s="652">
        <v>19675</v>
      </c>
      <c r="D525" s="655">
        <v>3747</v>
      </c>
      <c r="E525" s="646">
        <v>3891</v>
      </c>
      <c r="F525" s="636">
        <f t="shared" si="8"/>
        <v>3.8430744595676539E-2</v>
      </c>
    </row>
    <row r="526" spans="1:6" ht="12" customHeight="1" x14ac:dyDescent="0.25">
      <c r="A526" s="651" t="s">
        <v>789</v>
      </c>
      <c r="B526" s="665">
        <v>50417</v>
      </c>
      <c r="C526" s="652">
        <v>39808</v>
      </c>
      <c r="D526" s="655">
        <v>214</v>
      </c>
      <c r="E526" s="646">
        <v>195</v>
      </c>
      <c r="F526" s="636">
        <f t="shared" si="8"/>
        <v>-8.8785046728971959E-2</v>
      </c>
    </row>
    <row r="527" spans="1:6" x14ac:dyDescent="0.25">
      <c r="A527" s="651" t="s">
        <v>915</v>
      </c>
      <c r="B527" s="665">
        <v>82858</v>
      </c>
      <c r="C527" s="652">
        <v>13533</v>
      </c>
      <c r="D527" s="655">
        <v>6039</v>
      </c>
      <c r="E527" s="646">
        <v>6201</v>
      </c>
      <c r="F527" s="636">
        <f t="shared" si="8"/>
        <v>2.6825633383010434E-2</v>
      </c>
    </row>
    <row r="528" spans="1:6" x14ac:dyDescent="0.25">
      <c r="A528" s="651" t="s">
        <v>916</v>
      </c>
      <c r="B528" s="665">
        <v>85054</v>
      </c>
      <c r="C528" s="652">
        <v>41440</v>
      </c>
      <c r="D528" s="655">
        <v>3678</v>
      </c>
      <c r="E528" s="646">
        <v>3881</v>
      </c>
      <c r="F528" s="636">
        <f t="shared" si="8"/>
        <v>5.5193039695486674E-2</v>
      </c>
    </row>
    <row r="529" spans="1:6" x14ac:dyDescent="0.25">
      <c r="A529" s="651" t="s">
        <v>917</v>
      </c>
      <c r="B529" s="665">
        <v>64250</v>
      </c>
      <c r="C529" s="652">
        <v>5786</v>
      </c>
      <c r="D529" s="655">
        <v>1210</v>
      </c>
      <c r="E529" s="646">
        <v>1225</v>
      </c>
      <c r="F529" s="636">
        <f t="shared" si="8"/>
        <v>1.2396694214876033E-2</v>
      </c>
    </row>
    <row r="530" spans="1:6" x14ac:dyDescent="0.25">
      <c r="A530" s="651" t="s">
        <v>790</v>
      </c>
      <c r="B530" s="665">
        <v>62135</v>
      </c>
      <c r="C530" s="652">
        <v>8763</v>
      </c>
      <c r="D530" s="655">
        <v>1287</v>
      </c>
      <c r="E530" s="646">
        <v>1423</v>
      </c>
      <c r="F530" s="636">
        <f t="shared" si="8"/>
        <v>0.10567210567210568</v>
      </c>
    </row>
    <row r="531" spans="1:6" x14ac:dyDescent="0.25">
      <c r="A531" s="651" t="s">
        <v>791</v>
      </c>
      <c r="B531" s="665">
        <v>46985</v>
      </c>
      <c r="C531" s="652">
        <v>14028</v>
      </c>
      <c r="D531" s="655">
        <v>234</v>
      </c>
      <c r="E531" s="646">
        <v>205</v>
      </c>
      <c r="F531" s="636">
        <f t="shared" si="8"/>
        <v>-0.12393162393162394</v>
      </c>
    </row>
    <row r="532" spans="1:6" x14ac:dyDescent="0.25">
      <c r="A532" s="651" t="s">
        <v>792</v>
      </c>
      <c r="B532" s="665">
        <v>103482</v>
      </c>
      <c r="C532" s="652">
        <v>23918</v>
      </c>
      <c r="D532" s="655">
        <v>3022</v>
      </c>
      <c r="E532" s="646">
        <v>3210</v>
      </c>
      <c r="F532" s="636">
        <f t="shared" si="8"/>
        <v>6.2210456651224356E-2</v>
      </c>
    </row>
    <row r="533" spans="1:6" hidden="1" x14ac:dyDescent="0.25">
      <c r="A533" s="659" t="s">
        <v>1313</v>
      </c>
      <c r="B533" s="665" t="s">
        <v>1284</v>
      </c>
      <c r="C533" s="652" t="s">
        <v>1285</v>
      </c>
      <c r="D533" s="655">
        <v>86</v>
      </c>
      <c r="E533" s="646">
        <v>83</v>
      </c>
      <c r="F533" s="636">
        <f t="shared" si="8"/>
        <v>-3.4883720930232558E-2</v>
      </c>
    </row>
    <row r="534" spans="1:6" x14ac:dyDescent="0.25">
      <c r="A534" s="651" t="s">
        <v>918</v>
      </c>
      <c r="B534" s="665">
        <v>107911</v>
      </c>
      <c r="C534" s="652">
        <v>16227</v>
      </c>
      <c r="D534" s="655">
        <v>8593</v>
      </c>
      <c r="E534" s="646">
        <v>9026</v>
      </c>
      <c r="F534" s="636">
        <f t="shared" si="8"/>
        <v>5.0389852205283372E-2</v>
      </c>
    </row>
    <row r="535" spans="1:6" x14ac:dyDescent="0.25">
      <c r="A535" s="651" t="s">
        <v>793</v>
      </c>
      <c r="B535" s="665">
        <v>112982</v>
      </c>
      <c r="C535" s="652">
        <v>14011</v>
      </c>
      <c r="D535" s="655">
        <v>12806</v>
      </c>
      <c r="E535" s="646">
        <v>14118</v>
      </c>
      <c r="F535" s="636">
        <f t="shared" si="8"/>
        <v>0.10245197563642043</v>
      </c>
    </row>
  </sheetData>
  <mergeCells count="3">
    <mergeCell ref="A1:A2"/>
    <mergeCell ref="B1:C1"/>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Totals</vt:lpstr>
      <vt:lpstr>2025 IUP</vt:lpstr>
      <vt:lpstr>2025 IUP_FSPCAP</vt:lpstr>
      <vt:lpstr>2025 IUP-EC Only</vt:lpstr>
      <vt:lpstr>Stormwater &amp; NPS</vt:lpstr>
      <vt:lpstr>Calculator Impact  2025</vt:lpstr>
      <vt:lpstr>Population and MHI Data</vt:lpstr>
      <vt:lpstr>'2025 IUP'!Print_Area</vt:lpstr>
      <vt:lpstr>'2025 IUP_FSPCAP'!Print_Area</vt:lpstr>
      <vt:lpstr>'2025 IUP-EC Only'!Print_Area</vt:lpstr>
      <vt:lpstr>'2025 IUP'!Print_Titles</vt:lpstr>
      <vt:lpstr>'2025 IUP-EC Only'!Print_Titles</vt:lpstr>
      <vt:lpstr>'2025 IUP'!Text2</vt:lpstr>
      <vt:lpstr>'2025 IUP-EC Only'!Text2</vt:lpstr>
      <vt:lpstr>'2025 IUP'!Text3</vt:lpstr>
      <vt:lpstr>'2025 IUP-EC Only'!Text3</vt:lpstr>
      <vt:lpstr>'2025 IUP'!Text4</vt:lpstr>
    </vt:vector>
  </TitlesOfParts>
  <Company>Dept.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True</dc:creator>
  <cp:lastModifiedBy>Blaisdell, Breanne</cp:lastModifiedBy>
  <cp:lastPrinted>2024-05-10T16:38:29Z</cp:lastPrinted>
  <dcterms:created xsi:type="dcterms:W3CDTF">2010-05-21T17:26:21Z</dcterms:created>
  <dcterms:modified xsi:type="dcterms:W3CDTF">2025-03-30T22:05:17Z</dcterms:modified>
</cp:coreProperties>
</file>